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20" tabRatio="733" firstSheet="3" activeTab="14"/>
  </bookViews>
  <sheets>
    <sheet name="Feuil1" sheetId="1" r:id="rId1"/>
    <sheet name="Rapprochement bq" sheetId="2" r:id="rId2"/>
    <sheet name="nov14" sheetId="3" r:id="rId3"/>
    <sheet name="Déc 14" sheetId="4" r:id="rId4"/>
    <sheet name="Jan15" sheetId="5" r:id="rId5"/>
    <sheet name="Fév15" sheetId="6" r:id="rId6"/>
    <sheet name="Mars15" sheetId="7" r:id="rId7"/>
    <sheet name="avr15" sheetId="8" r:id="rId8"/>
    <sheet name="Mai15" sheetId="9" r:id="rId9"/>
    <sheet name="Juin15" sheetId="10" r:id="rId10"/>
    <sheet name="JuiL15" sheetId="11" r:id="rId11"/>
    <sheet name="Août15" sheetId="12" r:id="rId12"/>
    <sheet name="Sept15" sheetId="13" r:id="rId13"/>
    <sheet name="Oct15" sheetId="14" r:id="rId14"/>
    <sheet name="Répartition des recettes" sheetId="15" r:id="rId15"/>
    <sheet name="Répartition des dépenses" sheetId="16" r:id="rId16"/>
    <sheet name="Flux de trésorerie" sheetId="17" r:id="rId17"/>
    <sheet name="SITUATION FINANCIERE 31_10_15" sheetId="18" r:id="rId18"/>
    <sheet name="«Rec&amp;Dép» et Budget" sheetId="19" r:id="rId19"/>
    <sheet name="Vérification des ventilations" sheetId="20" r:id="rId20"/>
  </sheets>
  <definedNames/>
  <calcPr fullCalcOnLoad="1"/>
</workbook>
</file>

<file path=xl/sharedStrings.xml><?xml version="1.0" encoding="utf-8"?>
<sst xmlns="http://schemas.openxmlformats.org/spreadsheetml/2006/main" count="3274" uniqueCount="1078">
  <si>
    <t>Frais AG</t>
  </si>
  <si>
    <t>Trp perçu cotisation</t>
  </si>
  <si>
    <t>Décés + Mariages+Naissance+Célébration</t>
  </si>
  <si>
    <t>Cotisations associations autre FFCC et FFN</t>
  </si>
  <si>
    <t>Fournitures diverses</t>
  </si>
  <si>
    <t>Repas collectifs</t>
  </si>
  <si>
    <t>Bar</t>
  </si>
  <si>
    <t>Remboursement clefs magnétiques</t>
  </si>
  <si>
    <t>Lots (Tombola/loteriie)</t>
  </si>
  <si>
    <t>Frais de tenue de compte</t>
  </si>
  <si>
    <t>Mois</t>
  </si>
  <si>
    <t>Dépenses</t>
  </si>
  <si>
    <t>Recettes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</si>
  <si>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</si>
  <si>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</si>
  <si>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</si>
  <si>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</si>
  <si>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</si>
  <si>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</si>
  <si>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</si>
  <si>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</si>
  <si>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</si>
  <si>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</si>
  <si>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</si>
  <si>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</si>
  <si>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RAPPORT FINANCIER EXERCICE 2015</t>
  </si>
  <si>
    <r>
      <t xml:space="preserve">      </t>
    </r>
    <r>
      <rPr>
        <u val="single"/>
        <sz val="11"/>
        <rFont val="Times New Roman"/>
        <family val="1"/>
      </rPr>
      <t xml:space="preserve"> SITUATION FINANCIERE AU 31 OCTOBRE 2015</t>
    </r>
  </si>
  <si>
    <t>AVOIRS AU 01/11/2014</t>
  </si>
  <si>
    <t>dont</t>
  </si>
  <si>
    <t>B.N.P</t>
  </si>
  <si>
    <t>Compte Chèques</t>
  </si>
  <si>
    <t>Compte Epargne</t>
  </si>
  <si>
    <t>Caisse espèce</t>
  </si>
  <si>
    <t>RESULTAT DE L'EXERCICE</t>
  </si>
  <si>
    <t>AVOIRS AU 31/10/2015</t>
  </si>
  <si>
    <t>Le Président</t>
  </si>
  <si>
    <t>VILLAUME J,Paul</t>
  </si>
  <si>
    <t>BUDGET PREVISIONNEL &amp; RESULTATS 2015</t>
  </si>
  <si>
    <t>BUDGET PREVISIONNEL 2015</t>
  </si>
  <si>
    <t>RESULTATS 2015</t>
  </si>
  <si>
    <t>BUDGET PREVISIONNEL 2016</t>
  </si>
  <si>
    <t>MONTANT</t>
  </si>
  <si>
    <t>% recettes</t>
  </si>
  <si>
    <t>% / Budget</t>
  </si>
  <si>
    <t>COTISATIONS &amp; TRAVAUX</t>
  </si>
  <si>
    <t>Dont 1753,75 € théotiques de travaux</t>
  </si>
  <si>
    <t>DIVERS</t>
  </si>
  <si>
    <t>PRODUITS FINANCIERS</t>
  </si>
  <si>
    <t>% dépenses</t>
  </si>
  <si>
    <t>GESTION</t>
  </si>
  <si>
    <t>FONCTIONNEMENT</t>
  </si>
  <si>
    <t>ENERGIE</t>
  </si>
  <si>
    <t>ENTRETIEN</t>
  </si>
  <si>
    <t>EQUIPEMENT/TRAVAUX NEUFS *</t>
  </si>
  <si>
    <t>FRAIS FINANCIER</t>
  </si>
  <si>
    <t xml:space="preserve">Résultat </t>
  </si>
  <si>
    <t>* Détails équipements/travaux :</t>
  </si>
  <si>
    <t>Travaux Terrain</t>
  </si>
  <si>
    <t>Travaux Terrain :</t>
  </si>
  <si>
    <t>aménagement accés p.handicap</t>
  </si>
  <si>
    <t>Reclassement du terrain</t>
  </si>
  <si>
    <t>Investissements divers :</t>
  </si>
  <si>
    <t>Tondeuse</t>
  </si>
  <si>
    <t>Central accueil</t>
  </si>
  <si>
    <t>Opérations cumulées</t>
  </si>
  <si>
    <t>Ventilations</t>
  </si>
  <si>
    <t>Vérification</t>
  </si>
  <si>
    <t>Débits</t>
  </si>
  <si>
    <t>Crédits</t>
  </si>
  <si>
    <t>société des ferrailles</t>
  </si>
  <si>
    <t>remise chéque</t>
  </si>
  <si>
    <t>carglss</t>
  </si>
  <si>
    <t>vitres arriere du camion</t>
  </si>
  <si>
    <t>8817901</t>
  </si>
  <si>
    <t>megaphone</t>
  </si>
  <si>
    <t>8817902</t>
  </si>
  <si>
    <t xml:space="preserve">signaletique </t>
  </si>
  <si>
    <t>V irginie Villaumé</t>
  </si>
  <si>
    <t>LES HESPERIDES RECETTES 2015</t>
  </si>
  <si>
    <t>REPARTITION DES RECETTES</t>
  </si>
  <si>
    <t>Montants 2014</t>
  </si>
  <si>
    <t>Montants 2015</t>
  </si>
  <si>
    <t>DIVERS :</t>
  </si>
  <si>
    <t>Remb MAIF</t>
  </si>
  <si>
    <t>Autres divers</t>
  </si>
  <si>
    <t>AG</t>
  </si>
  <si>
    <t>Recette Buvette</t>
  </si>
  <si>
    <t>Remb timbres 2013 Hespérides</t>
  </si>
  <si>
    <t>Recette Tombola/loto</t>
  </si>
  <si>
    <t>Recette Repas (Méchoui, moules frites)</t>
  </si>
  <si>
    <t>Reliquat CCF</t>
  </si>
  <si>
    <t>PRODUITS FINANCIERS :</t>
  </si>
  <si>
    <t>Rémunération cpte épargne</t>
  </si>
  <si>
    <t>Total</t>
  </si>
  <si>
    <t>LES HESPERIDES DEPENSES 2015</t>
  </si>
  <si>
    <t>REPARTITION DES DEPENSES</t>
  </si>
  <si>
    <t>Ecart en % / 2014</t>
  </si>
  <si>
    <t>Poucentage / Type de dépense</t>
  </si>
  <si>
    <t>Pourcentage 
/ Total dépenses</t>
  </si>
  <si>
    <t>nov</t>
  </si>
  <si>
    <t>déc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</si>
  <si>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</si>
  <si>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</si>
  <si>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</si>
  <si>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</si>
  <si>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</si>
  <si>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</si>
  <si>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</si>
  <si>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</si>
  <si>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</si>
  <si>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</si>
  <si>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GESTION :</t>
  </si>
  <si>
    <t>Vignettes ffn+cotisation fédérale</t>
  </si>
  <si>
    <t>Affranchissement ptt+Boite postale</t>
  </si>
  <si>
    <t>Fourniture administratif</t>
  </si>
  <si>
    <t>FONCTIONNEMENT :</t>
  </si>
  <si>
    <t>ENERGIE :</t>
  </si>
  <si>
    <t>ENTRETIEN :</t>
  </si>
  <si>
    <t>Analyses d'eaux</t>
  </si>
  <si>
    <t>EQUIPEMENT + TRAVAUX NEUFS :</t>
  </si>
  <si>
    <t>Téléphone/Internet</t>
  </si>
  <si>
    <t>Taxe foncière</t>
  </si>
  <si>
    <t>FRAIS FINANCIERS :</t>
  </si>
  <si>
    <t>Redevance Tv</t>
  </si>
  <si>
    <t>Carburant</t>
  </si>
  <si>
    <t>Contôle Electrique</t>
  </si>
  <si>
    <t>Audit Handicap</t>
  </si>
  <si>
    <t>Animation</t>
  </si>
  <si>
    <t>Plaquette Hespérides</t>
  </si>
  <si>
    <t>Pétrole</t>
  </si>
  <si>
    <t>Electricité</t>
  </si>
  <si>
    <t>gaz</t>
  </si>
  <si>
    <t>Petits outillages</t>
  </si>
  <si>
    <t>Produits d'entretien</t>
  </si>
  <si>
    <t>Entretien matériel /outillages/divers</t>
  </si>
  <si>
    <t>Entretien vidange fosse</t>
  </si>
  <si>
    <t>Entretien espaces verts</t>
  </si>
  <si>
    <t>Entretien véhicule</t>
  </si>
  <si>
    <t>Entretien terrain</t>
  </si>
  <si>
    <t>Entretien Tracteur / Débroussailleuse</t>
  </si>
  <si>
    <t>Entretien Electricité</t>
  </si>
  <si>
    <t>Entretien chalet central</t>
  </si>
  <si>
    <t>Entretien piscine</t>
  </si>
  <si>
    <t>Entretien sanitaires</t>
  </si>
  <si>
    <t>Entretien sécurité incendie</t>
  </si>
  <si>
    <t>changement du  sectionneur</t>
  </si>
  <si>
    <t>1892730</t>
  </si>
  <si>
    <t>pochettes de font pompe piscine</t>
  </si>
  <si>
    <t>1892728</t>
  </si>
  <si>
    <t xml:space="preserve">BNP </t>
  </si>
  <si>
    <t>remise de cheques</t>
  </si>
  <si>
    <t>lots loto</t>
  </si>
  <si>
    <t>Pédiluve piscine</t>
  </si>
  <si>
    <t>Mobile</t>
  </si>
  <si>
    <t xml:space="preserve">Bâche </t>
  </si>
  <si>
    <t>Clôture</t>
  </si>
  <si>
    <t>WIFI</t>
  </si>
  <si>
    <t>Matériel électrique</t>
  </si>
  <si>
    <t>sectioneur BT</t>
  </si>
  <si>
    <t>1892733</t>
  </si>
  <si>
    <t>contrôle piscine</t>
  </si>
  <si>
    <t>1892731</t>
  </si>
  <si>
    <t>entretien de la caravane de courtoisie</t>
  </si>
  <si>
    <t>1892735</t>
  </si>
  <si>
    <t>Chalet des jeunes</t>
  </si>
  <si>
    <t>Mise aux normes Handicap</t>
  </si>
  <si>
    <t>Mise au norme sécurité</t>
  </si>
  <si>
    <t>Piscine</t>
  </si>
  <si>
    <t>Puît</t>
  </si>
  <si>
    <t>Centrale Gestion Badges</t>
  </si>
  <si>
    <t>7 Extincteurs</t>
  </si>
  <si>
    <t>Barbecue Home</t>
  </si>
  <si>
    <t>Sono</t>
  </si>
  <si>
    <t>Local Sono</t>
  </si>
  <si>
    <t>CKONOYOPSKI</t>
  </si>
  <si>
    <t>facture 14</t>
  </si>
  <si>
    <t>facture 85N</t>
  </si>
  <si>
    <t>facture 86N</t>
  </si>
  <si>
    <t>TOTAL    SEPTEMBRE</t>
  </si>
  <si>
    <t>CUMUL    FIN    SEPTEMBRE</t>
  </si>
  <si>
    <t>POSITONS    fin   SEPTEMBRE</t>
  </si>
  <si>
    <t>Viginie Villaumé</t>
  </si>
  <si>
    <t>Octobre 2015</t>
  </si>
  <si>
    <t>OCTOBRE2015</t>
  </si>
  <si>
    <t>martin</t>
  </si>
  <si>
    <t>séjour camping car</t>
  </si>
  <si>
    <t>facture87N</t>
  </si>
  <si>
    <t>lozach</t>
  </si>
  <si>
    <t>facture 88N</t>
  </si>
  <si>
    <t>dematraz</t>
  </si>
  <si>
    <t>facture 89N</t>
  </si>
  <si>
    <t>chaigneau</t>
  </si>
  <si>
    <t>recettes bar+glace</t>
  </si>
  <si>
    <t>recette</t>
  </si>
  <si>
    <t>colliers de cable+fusible+sortie de cable</t>
  </si>
  <si>
    <t>analyses sanitaire</t>
  </si>
  <si>
    <t>8817891</t>
  </si>
  <si>
    <t>analyses piscine</t>
  </si>
  <si>
    <t>8817892</t>
  </si>
  <si>
    <t>trésor publics</t>
  </si>
  <si>
    <t>taxes foncières</t>
  </si>
  <si>
    <t>virement des chéques vacances</t>
  </si>
  <si>
    <t>mégaphone</t>
  </si>
  <si>
    <t>8817893</t>
  </si>
  <si>
    <t>électricité+prestations techniques</t>
  </si>
  <si>
    <t>brico marché</t>
  </si>
  <si>
    <t>pétrole</t>
  </si>
  <si>
    <t>8817896</t>
  </si>
  <si>
    <t>timbre+cartouche d'encre +vin blanc(repas travaux))</t>
  </si>
  <si>
    <t>1892739</t>
  </si>
  <si>
    <t>repas colectif(travaux)</t>
  </si>
  <si>
    <t>8817894</t>
  </si>
  <si>
    <t>inter+poste+weldon</t>
  </si>
  <si>
    <t>patisserie(travaux)colissimo+produit entretein</t>
  </si>
  <si>
    <t>8817898</t>
  </si>
  <si>
    <t>pompe piscine+matériel pour la piscine</t>
  </si>
  <si>
    <t>1892738</t>
  </si>
  <si>
    <t>chailloux jacky</t>
  </si>
  <si>
    <t>changement de hote du barbecue de home</t>
  </si>
  <si>
    <t>8817897</t>
  </si>
  <si>
    <t>cartouches imprimante</t>
  </si>
  <si>
    <t>8817895</t>
  </si>
  <si>
    <t>hémisphère</t>
  </si>
  <si>
    <t>chaises longue (piscine)</t>
  </si>
  <si>
    <t>1892740</t>
  </si>
  <si>
    <t>A10 gratuite</t>
  </si>
  <si>
    <t>aghésion A10 gratuite</t>
  </si>
  <si>
    <t>1892741</t>
  </si>
  <si>
    <t>carburant huile+chaine tronçonneuse</t>
  </si>
  <si>
    <t>3965499</t>
  </si>
  <si>
    <t>copyconcept</t>
  </si>
  <si>
    <t xml:space="preserve">photocopies </t>
  </si>
  <si>
    <t>1892732</t>
  </si>
  <si>
    <t>8817900</t>
  </si>
  <si>
    <t>relais coquerive</t>
  </si>
  <si>
    <t>essence pour le camion</t>
  </si>
  <si>
    <t>1892742</t>
  </si>
  <si>
    <t>mallette+bac bec+6 porte cles</t>
  </si>
  <si>
    <t>1892743</t>
  </si>
  <si>
    <t>8817883</t>
  </si>
  <si>
    <t>13 aout</t>
  </si>
  <si>
    <t>3 bonde 75 mn quick clac (entre sanitaire)</t>
  </si>
  <si>
    <t>1892725</t>
  </si>
  <si>
    <t>fourniture bureau +entretien</t>
  </si>
  <si>
    <t>1892721</t>
  </si>
  <si>
    <t>leroy poste+pharm</t>
  </si>
  <si>
    <t>panneau signalisation sécurité du terrain</t>
  </si>
  <si>
    <t>versement espèces</t>
  </si>
  <si>
    <t>TOTAL    OCTOBRE</t>
  </si>
  <si>
    <t>CUMUL    FIN    OCTOBRE</t>
  </si>
  <si>
    <t>18 aout</t>
  </si>
  <si>
    <t>versement espéce</t>
  </si>
  <si>
    <t>19aout</t>
  </si>
  <si>
    <t>moules frites</t>
  </si>
  <si>
    <t>8817888</t>
  </si>
  <si>
    <t>20 aout</t>
  </si>
  <si>
    <t>Ecarts en % / 2014</t>
  </si>
  <si>
    <t>Poucentage / Type de recette</t>
  </si>
  <si>
    <t>Pourcentage 
/ Total recettes</t>
  </si>
  <si>
    <t>COTISATIONS</t>
  </si>
  <si>
    <t>PARTICIPATION INVESTISSEMENTS</t>
  </si>
  <si>
    <t>VISITES</t>
  </si>
  <si>
    <t>CAUTION CLE</t>
  </si>
  <si>
    <t>accessibilité handi</t>
  </si>
  <si>
    <t>autit handicaps</t>
  </si>
  <si>
    <t>1892723</t>
  </si>
  <si>
    <t>26 aout</t>
  </si>
  <si>
    <t xml:space="preserve">condensateur </t>
  </si>
  <si>
    <t>1892726</t>
  </si>
  <si>
    <t>narbonne</t>
  </si>
  <si>
    <t>réparation caravane de courtoisie</t>
  </si>
  <si>
    <t>8817884</t>
  </si>
  <si>
    <t>31 aout</t>
  </si>
  <si>
    <t>kilo+brico+inter+inter</t>
  </si>
  <si>
    <t>pain+ingredient sangria+bombe désinfecta</t>
  </si>
  <si>
    <t>8817889</t>
  </si>
  <si>
    <t>virements visiteurs facture 71N</t>
  </si>
  <si>
    <t>TRAORE</t>
  </si>
  <si>
    <t>facture 63N</t>
  </si>
  <si>
    <t>CHAIGNEAU</t>
  </si>
  <si>
    <t>séjour chez l'adhérent</t>
  </si>
  <si>
    <t>facture 48</t>
  </si>
  <si>
    <t>l vanda ledi</t>
  </si>
  <si>
    <t>21 aout</t>
  </si>
  <si>
    <t>KINGSLEY</t>
  </si>
  <si>
    <t>facture 64N</t>
  </si>
  <si>
    <t>hanne</t>
  </si>
  <si>
    <t>FEIJTER</t>
  </si>
  <si>
    <t>facture 65N</t>
  </si>
  <si>
    <t>22 aout</t>
  </si>
  <si>
    <t>CHERIF</t>
  </si>
  <si>
    <t>facture 66N</t>
  </si>
  <si>
    <t>MARTINEZ</t>
  </si>
  <si>
    <t>facture 67N</t>
  </si>
  <si>
    <t>23 aout</t>
  </si>
  <si>
    <t>van calmbout</t>
  </si>
  <si>
    <t>facture 50</t>
  </si>
  <si>
    <t>GUILLOIS</t>
  </si>
  <si>
    <t>facture 68N</t>
  </si>
  <si>
    <t>BONDER</t>
  </si>
  <si>
    <t>facture 69N</t>
  </si>
  <si>
    <t>BATS</t>
  </si>
  <si>
    <t>facture 70N</t>
  </si>
  <si>
    <t>recette ( suplément)</t>
  </si>
  <si>
    <t>25 aout</t>
  </si>
  <si>
    <t>VAN MANEN</t>
  </si>
  <si>
    <t>PAU</t>
  </si>
  <si>
    <t>29 aout</t>
  </si>
  <si>
    <t>facture 72N</t>
  </si>
  <si>
    <t>MARQUIS</t>
  </si>
  <si>
    <t>facture 75N</t>
  </si>
  <si>
    <t>ZIOSI</t>
  </si>
  <si>
    <t>facture 76N</t>
  </si>
  <si>
    <t>30 aout</t>
  </si>
  <si>
    <t>SICARD</t>
  </si>
  <si>
    <t>facture 77N</t>
  </si>
  <si>
    <t>PARENT</t>
  </si>
  <si>
    <t>facture 78 N</t>
  </si>
  <si>
    <t>RUBINSOHN</t>
  </si>
  <si>
    <t>facture 79N</t>
  </si>
  <si>
    <t>HOCHHEIDEN</t>
  </si>
  <si>
    <t>facture 80N</t>
  </si>
  <si>
    <t>VERVAART</t>
  </si>
  <si>
    <t>facture 81N</t>
  </si>
  <si>
    <t>LE PRAT</t>
  </si>
  <si>
    <t>MAGRO</t>
  </si>
  <si>
    <t>rendu monnaie</t>
  </si>
  <si>
    <t xml:space="preserve">recette  </t>
  </si>
  <si>
    <t>vol par des jeunes campeurs</t>
  </si>
  <si>
    <t>CUMUL    FIN    AOÛT</t>
  </si>
  <si>
    <t>POSITONS    fin   AOÛT</t>
  </si>
  <si>
    <t>Septembre 2015</t>
  </si>
  <si>
    <t>FARRAIN</t>
  </si>
  <si>
    <t>facture 82N</t>
  </si>
  <si>
    <t>BIBAS</t>
  </si>
  <si>
    <t>facture 83N</t>
  </si>
  <si>
    <t>C BONS</t>
  </si>
  <si>
    <t xml:space="preserve">hespérides </t>
  </si>
  <si>
    <t>recettes loto</t>
  </si>
  <si>
    <t>farain</t>
  </si>
  <si>
    <t>visites parent proche</t>
  </si>
  <si>
    <t>c boris</t>
  </si>
  <si>
    <t>j-paul</t>
  </si>
  <si>
    <t xml:space="preserve">remboursement photocopie </t>
  </si>
  <si>
    <t>produits électricité</t>
  </si>
  <si>
    <t>licence 2015</t>
  </si>
  <si>
    <t>1892727</t>
  </si>
  <si>
    <t>socotec</t>
  </si>
  <si>
    <t>contrôle électrique</t>
  </si>
  <si>
    <t xml:space="preserve">SEBASTIEN </t>
  </si>
  <si>
    <t>TOTAL    JUILLET</t>
  </si>
  <si>
    <t>CUMUL    FIN    JUILLET</t>
  </si>
  <si>
    <t>POSITONS    fin   JUILLET</t>
  </si>
  <si>
    <t>8817890</t>
  </si>
  <si>
    <t>intermaché</t>
  </si>
  <si>
    <t>glaces</t>
  </si>
  <si>
    <t>robinet universelle (sanitaire)</t>
  </si>
  <si>
    <t>1892734</t>
  </si>
  <si>
    <t>alpa chinie</t>
  </si>
  <si>
    <t>Entretien - cpt 6063</t>
  </si>
  <si>
    <t>Travaux    cpt 758</t>
  </si>
  <si>
    <t>Cotisations - cpt 75</t>
  </si>
  <si>
    <t>matériel pour la caravane+compresseur+roue gonflab</t>
  </si>
  <si>
    <t>1892736</t>
  </si>
  <si>
    <t>ovh,com</t>
  </si>
  <si>
    <t>abonnement internet</t>
  </si>
  <si>
    <t>1892737</t>
  </si>
  <si>
    <t>TRAM</t>
  </si>
  <si>
    <t>facture 13</t>
  </si>
  <si>
    <t>facture 84N</t>
  </si>
  <si>
    <t>2 aout</t>
  </si>
  <si>
    <t>Mme jouannault</t>
  </si>
  <si>
    <t>facture 21</t>
  </si>
  <si>
    <t>Mr/Mme VAN HERCK</t>
  </si>
  <si>
    <t>facture 22</t>
  </si>
  <si>
    <t>Mr boudin</t>
  </si>
  <si>
    <t>facture 49N</t>
  </si>
  <si>
    <t>Mr sicard</t>
  </si>
  <si>
    <t>facture50N</t>
  </si>
  <si>
    <t>3 aout</t>
  </si>
  <si>
    <t>Mr CHAUVEAU</t>
  </si>
  <si>
    <t>facture 51N</t>
  </si>
  <si>
    <t xml:space="preserve">Mr ANDRE </t>
  </si>
  <si>
    <t>facture 52N</t>
  </si>
  <si>
    <t>4aout</t>
  </si>
  <si>
    <t>Mm chaigneau</t>
  </si>
  <si>
    <t>facture 53N</t>
  </si>
  <si>
    <t>5aout</t>
  </si>
  <si>
    <t>Mr morin</t>
  </si>
  <si>
    <t>facture 54N</t>
  </si>
  <si>
    <t>MrMm petit</t>
  </si>
  <si>
    <t>facture 55N</t>
  </si>
  <si>
    <t>Mr sehmidt/skora</t>
  </si>
  <si>
    <t>fature 24</t>
  </si>
  <si>
    <t>6aout</t>
  </si>
  <si>
    <t>Mr hughe</t>
  </si>
  <si>
    <t>caravane de courtoisie</t>
  </si>
  <si>
    <t>facture 25</t>
  </si>
  <si>
    <t>6 aout</t>
  </si>
  <si>
    <t>Mr favier</t>
  </si>
  <si>
    <t>facture 26</t>
  </si>
  <si>
    <t>Mr benoit</t>
  </si>
  <si>
    <t>facture 56 N</t>
  </si>
  <si>
    <t>Mr tram</t>
  </si>
  <si>
    <t>facture 57N</t>
  </si>
  <si>
    <t>Mr spangers</t>
  </si>
  <si>
    <t>facture 58N</t>
  </si>
  <si>
    <t>7 aout</t>
  </si>
  <si>
    <t xml:space="preserve">Mr cherif </t>
  </si>
  <si>
    <t>Mm moreau</t>
  </si>
  <si>
    <t>8 aout</t>
  </si>
  <si>
    <t>Mr aknin</t>
  </si>
  <si>
    <t>facture 58N bis</t>
  </si>
  <si>
    <t>9 aout</t>
  </si>
  <si>
    <t>Mr fallot</t>
  </si>
  <si>
    <t>facture 59N</t>
  </si>
  <si>
    <t>MrMm decreus</t>
  </si>
  <si>
    <t>séjour caravane</t>
  </si>
  <si>
    <t>facture 31</t>
  </si>
  <si>
    <t>Mr haan /de boer</t>
  </si>
  <si>
    <t>10 aout</t>
  </si>
  <si>
    <t>MrMm samson</t>
  </si>
  <si>
    <t>Mr daujo</t>
  </si>
  <si>
    <t>Mr chauveau</t>
  </si>
  <si>
    <t>facture 60N</t>
  </si>
  <si>
    <t>Mr rouquette</t>
  </si>
  <si>
    <t>facture 61N</t>
  </si>
  <si>
    <t>11 aout</t>
  </si>
  <si>
    <t>Mm lengrand</t>
  </si>
  <si>
    <t>facture 62N</t>
  </si>
  <si>
    <t>Mr dhr d  meijsen</t>
  </si>
  <si>
    <t>Mr Mm scossa</t>
  </si>
  <si>
    <t>facture 36</t>
  </si>
  <si>
    <t>12 aout</t>
  </si>
  <si>
    <t>Mr Mm samson</t>
  </si>
  <si>
    <t>M r schilolt</t>
  </si>
  <si>
    <t>14 aout</t>
  </si>
  <si>
    <t>MrMm rodrigues</t>
  </si>
  <si>
    <t>Mr zertseyeh</t>
  </si>
  <si>
    <t>facture 40</t>
  </si>
  <si>
    <t>Mm bouman</t>
  </si>
  <si>
    <t>facture 41</t>
  </si>
  <si>
    <t>Mr couutautine</t>
  </si>
  <si>
    <t>15 aout</t>
  </si>
  <si>
    <t>Mr giuseppe</t>
  </si>
  <si>
    <t>facture 43</t>
  </si>
  <si>
    <t>facture 44</t>
  </si>
  <si>
    <t>16 aout</t>
  </si>
  <si>
    <t>Mr le prat</t>
  </si>
  <si>
    <t>Mm de cantela</t>
  </si>
  <si>
    <t>Mr zerstegen</t>
  </si>
  <si>
    <t>4 aout</t>
  </si>
  <si>
    <t>contrôle sanitaire</t>
  </si>
  <si>
    <t>3965570</t>
  </si>
  <si>
    <t>5 aout</t>
  </si>
  <si>
    <t>maif</t>
  </si>
  <si>
    <t>assurance du tracteur</t>
  </si>
  <si>
    <t>chéques impaye</t>
  </si>
  <si>
    <t>inter +brico</t>
  </si>
  <si>
    <t>bonbon jeux  d'eau pile sono +glace</t>
  </si>
  <si>
    <t>facture 49</t>
  </si>
  <si>
    <t>mr KANE</t>
  </si>
  <si>
    <t>mr WECK</t>
  </si>
  <si>
    <t>facture 22N</t>
  </si>
  <si>
    <t>mr FANTANY</t>
  </si>
  <si>
    <t>facture 23N</t>
  </si>
  <si>
    <t>mme CANTELAR</t>
  </si>
  <si>
    <t>facture 24N</t>
  </si>
  <si>
    <t>plomberie+timbre+venimex pompe</t>
  </si>
  <si>
    <t>1892722</t>
  </si>
  <si>
    <t>17 aout</t>
  </si>
  <si>
    <t>colissimo</t>
  </si>
  <si>
    <t>8817886</t>
  </si>
  <si>
    <t>mr ROLLAND</t>
  </si>
  <si>
    <t>facture 27N</t>
  </si>
  <si>
    <t>mr BRNGAND</t>
  </si>
  <si>
    <t>facture 28N</t>
  </si>
  <si>
    <t>debu fraicher</t>
  </si>
  <si>
    <t>pommes de terrre frites</t>
  </si>
  <si>
    <t>8817887</t>
  </si>
  <si>
    <t>pompe piscine</t>
  </si>
  <si>
    <t>1892729</t>
  </si>
  <si>
    <t>24 aout</t>
  </si>
  <si>
    <t>timbres licences</t>
  </si>
  <si>
    <t>8817885</t>
  </si>
  <si>
    <t>facture 31N</t>
  </si>
  <si>
    <t>mme MARTINEZ</t>
  </si>
  <si>
    <t>facture 32N</t>
  </si>
  <si>
    <t>mr CHERIF</t>
  </si>
  <si>
    <t>facture33N</t>
  </si>
  <si>
    <t>mme FOUCART</t>
  </si>
  <si>
    <t>facture 34N</t>
  </si>
  <si>
    <t>mr mme HENRY</t>
  </si>
  <si>
    <t>séjour camping</t>
  </si>
  <si>
    <t>mr BENFIELD</t>
  </si>
  <si>
    <t>mme GUINOISEAU</t>
  </si>
  <si>
    <t xml:space="preserve"> séjour courtoisie</t>
  </si>
  <si>
    <t>mr trans en annie</t>
  </si>
  <si>
    <t>séjour soirée</t>
  </si>
  <si>
    <t>facture 35N</t>
  </si>
  <si>
    <t>mr WATT</t>
  </si>
  <si>
    <t>facture 6</t>
  </si>
  <si>
    <t>mr TOCCUER</t>
  </si>
  <si>
    <t>facture 7</t>
  </si>
  <si>
    <t>mr mg t  wouters</t>
  </si>
  <si>
    <t>facture8</t>
  </si>
  <si>
    <t>mr mme kuijpers</t>
  </si>
  <si>
    <t>facture 36N</t>
  </si>
  <si>
    <t>retrait de la poste CCF</t>
  </si>
  <si>
    <t>renboursement de l apirateur</t>
  </si>
  <si>
    <t>mr/mMm weessies</t>
  </si>
  <si>
    <t>facture12</t>
  </si>
  <si>
    <t>melle weessies</t>
  </si>
  <si>
    <t>facture13</t>
  </si>
  <si>
    <t>mr nusken m wouters</t>
  </si>
  <si>
    <t>facture37N</t>
  </si>
  <si>
    <t>MR MAGRO</t>
  </si>
  <si>
    <t>facture14</t>
  </si>
  <si>
    <t>mr/MMm albert</t>
  </si>
  <si>
    <t>facture38N</t>
  </si>
  <si>
    <t>mr/Mm meyer</t>
  </si>
  <si>
    <t>facture39N</t>
  </si>
  <si>
    <t>mr/Mm bonnes</t>
  </si>
  <si>
    <t>facture15</t>
  </si>
  <si>
    <t>Mm fruner</t>
  </si>
  <si>
    <t>facture43N</t>
  </si>
  <si>
    <t>mr/Mm burges</t>
  </si>
  <si>
    <t>facture16</t>
  </si>
  <si>
    <t>facture17</t>
  </si>
  <si>
    <t>Mm lalere</t>
  </si>
  <si>
    <t>facture44N</t>
  </si>
  <si>
    <t>mr poirier</t>
  </si>
  <si>
    <t>facture46N</t>
  </si>
  <si>
    <t>Mm martinez</t>
  </si>
  <si>
    <t>Mm de cantelar</t>
  </si>
  <si>
    <t>Mme CHAIGNEAU</t>
  </si>
  <si>
    <t>facture48n</t>
  </si>
  <si>
    <t>Mme MOULIN</t>
  </si>
  <si>
    <t>facture19</t>
  </si>
  <si>
    <t>gants isolant+coffert télécommandé</t>
  </si>
  <si>
    <t>prlv</t>
  </si>
  <si>
    <t>repas d'été</t>
  </si>
  <si>
    <t>8817878</t>
  </si>
  <si>
    <t>fiesta paella</t>
  </si>
  <si>
    <t>3965565</t>
  </si>
  <si>
    <t>kilo+intermarché</t>
  </si>
  <si>
    <t>8817879</t>
  </si>
  <si>
    <t>verst espéces</t>
  </si>
  <si>
    <t>remise chéques</t>
  </si>
  <si>
    <t xml:space="preserve">timbres </t>
  </si>
  <si>
    <t>3965561</t>
  </si>
  <si>
    <t>3965556</t>
  </si>
  <si>
    <t>festi</t>
  </si>
  <si>
    <t>drapeaux+guirlande+ballon 14juil</t>
  </si>
  <si>
    <t>8817880</t>
  </si>
  <si>
    <t>motralec</t>
  </si>
  <si>
    <t>acompte pompe piscine</t>
  </si>
  <si>
    <t>3965564</t>
  </si>
  <si>
    <t>robot</t>
  </si>
  <si>
    <t>3965567</t>
  </si>
  <si>
    <t>4 bouteilles de gaz</t>
  </si>
  <si>
    <t>8817881</t>
  </si>
  <si>
    <t>reparation et carburant déboussailleuse</t>
  </si>
  <si>
    <t>3965498</t>
  </si>
  <si>
    <t>acces handicap</t>
  </si>
  <si>
    <t>audit handicap</t>
  </si>
  <si>
    <t>3965568</t>
  </si>
  <si>
    <t>netto</t>
  </si>
  <si>
    <t>poele gaz couroisie</t>
  </si>
  <si>
    <t>3965569</t>
  </si>
  <si>
    <t>mr HOCTASUM</t>
  </si>
  <si>
    <t>facture 39</t>
  </si>
  <si>
    <t>facture 7N</t>
  </si>
  <si>
    <t>facture 8N</t>
  </si>
  <si>
    <t>facture 9N</t>
  </si>
  <si>
    <t>mr MARTINEZ</t>
  </si>
  <si>
    <t>facture 10N</t>
  </si>
  <si>
    <t>mr DELFOSSE</t>
  </si>
  <si>
    <t>Virginie Villaumé</t>
  </si>
  <si>
    <t>Août 2015</t>
  </si>
  <si>
    <t>Frais Finan cpt 66</t>
  </si>
  <si>
    <t>Energie - cpt 6061</t>
  </si>
  <si>
    <t>fete de l été</t>
  </si>
  <si>
    <t>recette du repas</t>
  </si>
  <si>
    <t>facture 14N</t>
  </si>
  <si>
    <t>Visit:Séj - cpt 708</t>
  </si>
  <si>
    <t>Caution Clé - 713</t>
  </si>
  <si>
    <t>Produits fina - cpt 76</t>
  </si>
  <si>
    <t>Divers - cpt 77</t>
  </si>
  <si>
    <t>1 aout</t>
  </si>
  <si>
    <t>Mr MARTINEAU</t>
  </si>
  <si>
    <t>mr AFONSO</t>
  </si>
  <si>
    <t>facture 17N</t>
  </si>
  <si>
    <t>KILO</t>
  </si>
  <si>
    <t>réunion ile de France</t>
  </si>
  <si>
    <t>3965555</t>
  </si>
  <si>
    <t>joint ciment chiffon col (piscine)</t>
  </si>
  <si>
    <t>3965494</t>
  </si>
  <si>
    <t xml:space="preserve">matériel pour les bornes </t>
  </si>
  <si>
    <t>esat egly</t>
  </si>
  <si>
    <t>3965493</t>
  </si>
  <si>
    <t>remise chèque</t>
  </si>
  <si>
    <t>boissons bar</t>
  </si>
  <si>
    <t>8817868</t>
  </si>
  <si>
    <t>accessibilité han</t>
  </si>
  <si>
    <t>acompte audit</t>
  </si>
  <si>
    <t>3965553</t>
  </si>
  <si>
    <t>achat bonbon kermesse des jeunes</t>
  </si>
  <si>
    <t>3965559</t>
  </si>
  <si>
    <t>repas ile de France</t>
  </si>
  <si>
    <t>3965558</t>
  </si>
  <si>
    <t>desjoyaux</t>
  </si>
  <si>
    <t>4 poches filtrantes</t>
  </si>
  <si>
    <t>8817871</t>
  </si>
  <si>
    <t>la fete</t>
  </si>
  <si>
    <t>lampion+bougie+cartes pour le loto</t>
  </si>
  <si>
    <t>8817873</t>
  </si>
  <si>
    <t>cartouche imprinante +dvd</t>
  </si>
  <si>
    <t>8817870</t>
  </si>
  <si>
    <t>quincaillerie beauceronne</t>
  </si>
  <si>
    <t xml:space="preserve"> gache electrique</t>
  </si>
  <si>
    <t>8817866</t>
  </si>
  <si>
    <t>gazoil camion</t>
  </si>
  <si>
    <t>8817874</t>
  </si>
  <si>
    <t>tramier</t>
  </si>
  <si>
    <t>vin rosé</t>
  </si>
  <si>
    <t>8817864</t>
  </si>
  <si>
    <t>butagaz</t>
  </si>
  <si>
    <t>gaz citerne</t>
  </si>
  <si>
    <t>amazon</t>
  </si>
  <si>
    <t>cartouche d encre</t>
  </si>
  <si>
    <t>3965497</t>
  </si>
  <si>
    <t>glace+fromage+vin blancs</t>
  </si>
  <si>
    <t>8817875</t>
  </si>
  <si>
    <t>alinea</t>
  </si>
  <si>
    <t>lits superposés+ pendulette</t>
  </si>
  <si>
    <t>8817872</t>
  </si>
  <si>
    <t>alpa chimies</t>
  </si>
  <si>
    <t>analyses eau sanitaire</t>
  </si>
  <si>
    <t>3965562</t>
  </si>
  <si>
    <t>sovéclat</t>
  </si>
  <si>
    <t>produits entretien</t>
  </si>
  <si>
    <t>3965560</t>
  </si>
  <si>
    <t>sono vente</t>
  </si>
  <si>
    <t>cablages +lampes sono</t>
  </si>
  <si>
    <t>8817876</t>
  </si>
  <si>
    <t>auchan</t>
  </si>
  <si>
    <t>lots tombola</t>
  </si>
  <si>
    <t>8817877</t>
  </si>
  <si>
    <t>garage du marais</t>
  </si>
  <si>
    <t>camion entretien</t>
  </si>
  <si>
    <t>3965563</t>
  </si>
  <si>
    <t>TOTAL    JUIN</t>
  </si>
  <si>
    <t>CUMUL    FIN    JUIN</t>
  </si>
  <si>
    <t>POSITONS    fin   JUIN</t>
  </si>
  <si>
    <t>VILLAUME  Virginie</t>
  </si>
  <si>
    <t>Juillet 2015</t>
  </si>
  <si>
    <t>JUILLET 2015</t>
  </si>
  <si>
    <t>mr BULOURDE</t>
  </si>
  <si>
    <t>facture 18N</t>
  </si>
  <si>
    <t>mr OTTES</t>
  </si>
  <si>
    <t>fature 43</t>
  </si>
  <si>
    <t>mr BENOIST</t>
  </si>
  <si>
    <t>facture 45</t>
  </si>
  <si>
    <t>mr mme MARQUIS</t>
  </si>
  <si>
    <t>facture 19N</t>
  </si>
  <si>
    <t>mr BOULZEC</t>
  </si>
  <si>
    <t>facture 20N</t>
  </si>
  <si>
    <t>mr JAOUEN olivier</t>
  </si>
  <si>
    <t>facture 46</t>
  </si>
  <si>
    <t>MR charbonnier</t>
  </si>
  <si>
    <t>facture 47</t>
  </si>
  <si>
    <t>mme martinez</t>
  </si>
  <si>
    <t>séjour courtoisie</t>
  </si>
  <si>
    <t>cattiaux rochettes</t>
  </si>
  <si>
    <t>fourniture piscine</t>
  </si>
  <si>
    <t>3965544</t>
  </si>
  <si>
    <t>carrefour</t>
  </si>
  <si>
    <t>gazoil camion+essence 95</t>
  </si>
  <si>
    <t>3965545</t>
  </si>
  <si>
    <t>castorama</t>
  </si>
  <si>
    <t>mr mme HUGOT</t>
  </si>
  <si>
    <t>facture 25 N</t>
  </si>
  <si>
    <t>mr NABETH</t>
  </si>
  <si>
    <t>facture 26N</t>
  </si>
  <si>
    <t>Achat matériel</t>
  </si>
  <si>
    <t>boissons bar+piles sono</t>
  </si>
  <si>
    <t>8817862</t>
  </si>
  <si>
    <t>l j m van doorn</t>
  </si>
  <si>
    <t>facture50</t>
  </si>
  <si>
    <t>mr BENOIT</t>
  </si>
  <si>
    <t>facture 29N</t>
  </si>
  <si>
    <t>mr mme MEVR W</t>
  </si>
  <si>
    <t>facture 30N</t>
  </si>
  <si>
    <t>mr SICARD</t>
  </si>
  <si>
    <t>3965549</t>
  </si>
  <si>
    <t>truffaut</t>
  </si>
  <si>
    <t>fleurs pour le terrain</t>
  </si>
  <si>
    <t>3965496</t>
  </si>
  <si>
    <t>TOTAL</t>
  </si>
  <si>
    <t>essence groupe electrogene</t>
  </si>
  <si>
    <t>8817863</t>
  </si>
  <si>
    <t>trésor public</t>
  </si>
  <si>
    <t>redevance audiovisuelle</t>
  </si>
  <si>
    <t>3965548</t>
  </si>
  <si>
    <t>garages du marais</t>
  </si>
  <si>
    <t xml:space="preserve">révision+contrôle technique </t>
  </si>
  <si>
    <t>8817865</t>
  </si>
  <si>
    <t>siidef</t>
  </si>
  <si>
    <t>vérificatiion des extincteurs</t>
  </si>
  <si>
    <t>3965550</t>
  </si>
  <si>
    <t xml:space="preserve">boissons bar </t>
  </si>
  <si>
    <t>8817867</t>
  </si>
  <si>
    <t>mastic+éponges+quincaillerie</t>
  </si>
  <si>
    <t>3965552</t>
  </si>
  <si>
    <t>3965495</t>
  </si>
  <si>
    <t>aspirateur piscine</t>
  </si>
  <si>
    <t>3965551</t>
  </si>
  <si>
    <t>CUMUL    FIN    MAI</t>
  </si>
  <si>
    <t>POSITONS    fin   MAI</t>
  </si>
  <si>
    <t>Juin 2015</t>
  </si>
  <si>
    <t>JUIN     2015</t>
  </si>
  <si>
    <t>Visit:Séj
compte 708</t>
  </si>
  <si>
    <t>Mr WECH</t>
  </si>
  <si>
    <t>Mr BONNIN</t>
  </si>
  <si>
    <t>pizza</t>
  </si>
  <si>
    <t>pascal+henri+betty+jean+lydia</t>
  </si>
  <si>
    <t>IDF</t>
  </si>
  <si>
    <t xml:space="preserve">remboursement repas </t>
  </si>
  <si>
    <t>mr STEVEN VREEDE</t>
  </si>
  <si>
    <t>facture 15</t>
  </si>
  <si>
    <t>mr DAMION jérome</t>
  </si>
  <si>
    <t>visite journée</t>
  </si>
  <si>
    <t>facture 2N</t>
  </si>
  <si>
    <t>mme DAMION</t>
  </si>
  <si>
    <t>facture 3N</t>
  </si>
  <si>
    <t>Hubert</t>
  </si>
  <si>
    <t>Taxe audiovisuel</t>
  </si>
  <si>
    <t>mr mme FERNANDEZ</t>
  </si>
  <si>
    <t>séjour caravaning</t>
  </si>
  <si>
    <t>facture 16</t>
  </si>
  <si>
    <t>Michel</t>
  </si>
  <si>
    <t>Gazole</t>
  </si>
  <si>
    <t>mme HUISSIER</t>
  </si>
  <si>
    <t>facture 17</t>
  </si>
  <si>
    <t>Entretien Camion</t>
  </si>
  <si>
    <t>mr mme hinderdall</t>
  </si>
  <si>
    <t>facture 18</t>
  </si>
  <si>
    <t>Contrôle technique</t>
  </si>
  <si>
    <t>mr TERRON</t>
  </si>
  <si>
    <t>facture 4N</t>
  </si>
  <si>
    <t>mr LEMMERY</t>
  </si>
  <si>
    <t>visite soirée</t>
  </si>
  <si>
    <t>facture 5N</t>
  </si>
  <si>
    <t>mr MONNIER</t>
  </si>
  <si>
    <t>facture 19</t>
  </si>
  <si>
    <t>mr WI VISTRA</t>
  </si>
  <si>
    <t>facture 20</t>
  </si>
  <si>
    <t>mr VALCALA BATITU</t>
  </si>
  <si>
    <t>facture23</t>
  </si>
  <si>
    <t>mr RIOTTE</t>
  </si>
  <si>
    <t>facture 24</t>
  </si>
  <si>
    <t>mme ENNRICA</t>
  </si>
  <si>
    <t>facture 27</t>
  </si>
  <si>
    <t>facture 28</t>
  </si>
  <si>
    <t>VANDRIEL</t>
  </si>
  <si>
    <t>facture 29</t>
  </si>
  <si>
    <t>mr AKBODGE</t>
  </si>
  <si>
    <t>facture 30</t>
  </si>
  <si>
    <t>mr BORBOOM</t>
  </si>
  <si>
    <t>facture 32</t>
  </si>
  <si>
    <t>mr kamhime</t>
  </si>
  <si>
    <t>facture 33</t>
  </si>
  <si>
    <t>mr COLAS</t>
  </si>
  <si>
    <t>facture 34</t>
  </si>
  <si>
    <t>mme POUSSE fanfan</t>
  </si>
  <si>
    <t>facture 35</t>
  </si>
  <si>
    <t>mme DEMATRAZ</t>
  </si>
  <si>
    <t>facture 37</t>
  </si>
  <si>
    <t xml:space="preserve">mr VISSER </t>
  </si>
  <si>
    <t>facture 38</t>
  </si>
  <si>
    <t>guillaume/ henriette</t>
  </si>
  <si>
    <t>strepi pizza</t>
  </si>
  <si>
    <t>pizza AG</t>
  </si>
  <si>
    <t>3965539</t>
  </si>
  <si>
    <t>frais gestion</t>
  </si>
  <si>
    <t>TOTAL    FEVRIER</t>
  </si>
  <si>
    <t>C-Débits du mois (ventilation)</t>
  </si>
  <si>
    <t>facture 11N</t>
  </si>
  <si>
    <t>mr RABEE</t>
  </si>
  <si>
    <t xml:space="preserve">facture 13N </t>
  </si>
  <si>
    <t>facture 12N</t>
  </si>
  <si>
    <t>recette tombola</t>
  </si>
  <si>
    <t>VENTILATION DES DEBITS 6 CLASSE 6</t>
  </si>
  <si>
    <t>mr BROSKA</t>
  </si>
  <si>
    <t>facture 42</t>
  </si>
  <si>
    <t>mr mme KECHRID</t>
  </si>
  <si>
    <t>facture 15N</t>
  </si>
  <si>
    <t>mr MODESTI</t>
  </si>
  <si>
    <t>facture 16N</t>
  </si>
  <si>
    <t>piles+boisons</t>
  </si>
  <si>
    <t>8817855</t>
  </si>
  <si>
    <t>alray</t>
  </si>
  <si>
    <t>armoire le grand marina</t>
  </si>
  <si>
    <t>leroy merlin</t>
  </si>
  <si>
    <t>peinture,vitre pinceaux</t>
  </si>
  <si>
    <t>3965491</t>
  </si>
  <si>
    <t>repas traveaux</t>
  </si>
  <si>
    <t>8817857</t>
  </si>
  <si>
    <t>TOTAL    MARS</t>
  </si>
  <si>
    <t>C-crédits du mois (ventilation)</t>
  </si>
  <si>
    <t>CUMUL    FIN    MARS</t>
  </si>
  <si>
    <t>C-des crédits depuis le 001/11/14</t>
  </si>
  <si>
    <t>C-crédits depuis le 1/11/14</t>
  </si>
  <si>
    <t>POSITONS    fin   MARS</t>
  </si>
  <si>
    <t>Avril 2015</t>
  </si>
  <si>
    <t>Avril     2015</t>
  </si>
  <si>
    <t>Frais Finan.
compte 66</t>
  </si>
  <si>
    <t>espace temps</t>
  </si>
  <si>
    <t>cartouches imprimantes</t>
  </si>
  <si>
    <t>8817856</t>
  </si>
  <si>
    <t>licence</t>
  </si>
  <si>
    <t>3965541</t>
  </si>
  <si>
    <t>PELLETIER</t>
  </si>
  <si>
    <t>DROUAIRE</t>
  </si>
  <si>
    <t>matériel d'éclairage</t>
  </si>
  <si>
    <t>8817858</t>
  </si>
  <si>
    <t>musters</t>
  </si>
  <si>
    <t>remboursement clés</t>
  </si>
  <si>
    <t>8817852</t>
  </si>
  <si>
    <t>brico+castorama</t>
  </si>
  <si>
    <t>peintures</t>
  </si>
  <si>
    <t>3965542</t>
  </si>
  <si>
    <t>brico dépôt</t>
  </si>
  <si>
    <t>panneaux clostrax</t>
  </si>
  <si>
    <t>8817859</t>
  </si>
  <si>
    <t>brico+intermaché</t>
  </si>
  <si>
    <t>pain+repas travaux+ciment</t>
  </si>
  <si>
    <t>8817861</t>
  </si>
  <si>
    <t>ERDF</t>
  </si>
  <si>
    <t>réalisation des travaux coupure</t>
  </si>
  <si>
    <t>3965543</t>
  </si>
  <si>
    <t>timbres</t>
  </si>
  <si>
    <t>8817854</t>
  </si>
  <si>
    <t>HTA</t>
  </si>
  <si>
    <t>vérification du sectionneur</t>
  </si>
  <si>
    <t>8817860</t>
  </si>
  <si>
    <t>FFCC</t>
  </si>
  <si>
    <t>cartes familles et individuelles</t>
  </si>
  <si>
    <t>8817850</t>
  </si>
  <si>
    <t>nuité</t>
  </si>
  <si>
    <t>CUMUL    FIN    AVRIL</t>
  </si>
  <si>
    <t>POSITONS    fin   AVRIL</t>
  </si>
  <si>
    <t>Mai 2015</t>
  </si>
  <si>
    <t>MAI     2015</t>
  </si>
  <si>
    <t>Travaux
cpt 758</t>
  </si>
  <si>
    <t>pousse christian</t>
  </si>
  <si>
    <t>caution badge</t>
  </si>
  <si>
    <t>TAKADA</t>
  </si>
  <si>
    <t>nuité camping</t>
  </si>
  <si>
    <t>facture 1</t>
  </si>
  <si>
    <t>henriette/ fred</t>
  </si>
  <si>
    <t xml:space="preserve"> nuité</t>
  </si>
  <si>
    <t>facture 2</t>
  </si>
  <si>
    <t>DEMATRAZ lydia</t>
  </si>
  <si>
    <t>visiteur</t>
  </si>
  <si>
    <t>facture 3</t>
  </si>
  <si>
    <t>facture 4</t>
  </si>
  <si>
    <t>mr mme pineau</t>
  </si>
  <si>
    <t>facture 5</t>
  </si>
  <si>
    <t>facture 8</t>
  </si>
  <si>
    <t>Mr FARAIN</t>
  </si>
  <si>
    <t>invité</t>
  </si>
  <si>
    <t>facture 9</t>
  </si>
  <si>
    <t>mr NOORDHUIS</t>
  </si>
  <si>
    <t>facture 10</t>
  </si>
  <si>
    <t>Mme chris et thea</t>
  </si>
  <si>
    <t>nuité camping car</t>
  </si>
  <si>
    <t>facture 11</t>
  </si>
  <si>
    <t>mrQUEAU michel</t>
  </si>
  <si>
    <t>facture 1N</t>
  </si>
  <si>
    <t>REXEL</t>
  </si>
  <si>
    <t>prvl</t>
  </si>
  <si>
    <t>remise chèques</t>
  </si>
  <si>
    <t>versement</t>
  </si>
  <si>
    <t>C-crédits du mois (Ventilation)</t>
  </si>
  <si>
    <t>CUMUL    FIN    NOVEMBRE</t>
  </si>
  <si>
    <t>C-Débits depuis le 01/11/14</t>
  </si>
  <si>
    <t>C- crédits depuis le 01/11/14</t>
  </si>
  <si>
    <t>outil pour la piscine</t>
  </si>
  <si>
    <t>3965546</t>
  </si>
  <si>
    <t>weldom</t>
  </si>
  <si>
    <t>produits piscine</t>
  </si>
  <si>
    <t>3965492</t>
  </si>
  <si>
    <t>AGENCE 00145     COMPTE.00001572362</t>
  </si>
  <si>
    <t>pièces pour la piscine</t>
  </si>
  <si>
    <t>3965547</t>
  </si>
  <si>
    <t>filtres/sandow bache piscine+cartouche</t>
  </si>
  <si>
    <t>C.A. &gt; B.N.P</t>
  </si>
  <si>
    <t>Le Trésorier</t>
  </si>
  <si>
    <t>Le Trésorier Adjoint</t>
  </si>
  <si>
    <t>1er Vérificateur aux Comptes</t>
  </si>
  <si>
    <t>2ème Vérificateur aux Comptes</t>
  </si>
  <si>
    <t>Le Tresorier</t>
  </si>
  <si>
    <t>LEMMERY Frédéric</t>
  </si>
  <si>
    <t>VILLAUME Virginie</t>
  </si>
  <si>
    <t>TOTAL          DES          COMPTES</t>
  </si>
  <si>
    <t>EXERCICE 2014</t>
  </si>
  <si>
    <t>Décembre 2014</t>
  </si>
  <si>
    <t xml:space="preserve">décembre 2014 </t>
  </si>
  <si>
    <t>ENTREES DE DONNEES</t>
  </si>
  <si>
    <t>B.N.P 512</t>
  </si>
  <si>
    <t>Caisse 531</t>
  </si>
  <si>
    <t>Equipement</t>
  </si>
  <si>
    <t>Travaux
compte 758</t>
  </si>
  <si>
    <t>Cotisations
compte 75</t>
  </si>
  <si>
    <t>Caution Clé
Compte 713</t>
  </si>
  <si>
    <t>Produits fin.
compte 76</t>
  </si>
  <si>
    <t>Divers
compte 77</t>
  </si>
  <si>
    <t>FONTANY</t>
  </si>
  <si>
    <t>cotisation</t>
  </si>
  <si>
    <t xml:space="preserve"> remise de chéques</t>
  </si>
  <si>
    <t>frais de gestion cpt</t>
  </si>
  <si>
    <t>prélvt</t>
  </si>
  <si>
    <t>DEMATRAZ</t>
  </si>
  <si>
    <t>virement cpt à cpt</t>
  </si>
  <si>
    <t>remise de chéques</t>
  </si>
  <si>
    <t>SVR</t>
  </si>
  <si>
    <t>vidange fosses d'autonne</t>
  </si>
  <si>
    <t>8817848</t>
  </si>
  <si>
    <t>laboratoire de rouen</t>
  </si>
  <si>
    <t>analyse d eau</t>
  </si>
  <si>
    <t>8817849</t>
  </si>
  <si>
    <t>la poste</t>
  </si>
  <si>
    <t>boîte postale</t>
  </si>
  <si>
    <t>8817847</t>
  </si>
  <si>
    <t>TOTAL    DECEMBRE</t>
  </si>
  <si>
    <t>CUMUL    FIN    DECEMBRE</t>
  </si>
  <si>
    <t>C-des crédits depuis le 01/11/14</t>
  </si>
  <si>
    <t>POSITONS    fin   DECEMBRE</t>
  </si>
  <si>
    <t xml:space="preserve">LEMMERY Frédéric    </t>
  </si>
  <si>
    <t xml:space="preserve">LEMMERY Frédéric </t>
  </si>
  <si>
    <t>EXERCICE 2015</t>
  </si>
  <si>
    <t>Janvier 2015</t>
  </si>
  <si>
    <t>JANVIER     2015</t>
  </si>
  <si>
    <t>VENTILATION DES CREDITS</t>
  </si>
  <si>
    <t>Produits fina
compte 76</t>
  </si>
  <si>
    <t xml:space="preserve">frais gestion </t>
  </si>
  <si>
    <t>assurance véhicule+terrain</t>
  </si>
  <si>
    <t>poste</t>
  </si>
  <si>
    <t>timbres +boulanger</t>
  </si>
  <si>
    <t>3965537</t>
  </si>
  <si>
    <t>le chant du pain</t>
  </si>
  <si>
    <t>galettes AG</t>
  </si>
  <si>
    <t>8817851</t>
  </si>
  <si>
    <t>recettes exceptionnelle</t>
  </si>
  <si>
    <t>rémunération nette</t>
  </si>
  <si>
    <t>TOTAL    JANVIER</t>
  </si>
  <si>
    <t>CUMUL    FIN    JANVIER</t>
  </si>
  <si>
    <t>POSITONS    fin   JANVIER</t>
  </si>
  <si>
    <t>Février 2015</t>
  </si>
  <si>
    <t>FEVRIER 2015</t>
  </si>
  <si>
    <t>carrefour+poste</t>
  </si>
  <si>
    <t>timbres+fruits AG+senséo pour le club</t>
  </si>
  <si>
    <t>3965538</t>
  </si>
  <si>
    <t>lots tombola+loto</t>
  </si>
  <si>
    <t>3965540</t>
  </si>
  <si>
    <t>rexel</t>
  </si>
  <si>
    <t>matériel électrique pour le local</t>
  </si>
  <si>
    <t>Clients et fournisseurs</t>
  </si>
  <si>
    <t>Désignation</t>
  </si>
  <si>
    <t>ANCV</t>
  </si>
  <si>
    <t>Amortissement de prêt</t>
  </si>
  <si>
    <t>BNP PARIBAS</t>
  </si>
  <si>
    <t>Analyse de l'eau</t>
  </si>
  <si>
    <t>CUMUL    FIN    FEVRIER</t>
  </si>
  <si>
    <t>POSITONS    fin   FEVRIER</t>
  </si>
  <si>
    <t>Mars 2015</t>
  </si>
  <si>
    <t>MARS     2015</t>
  </si>
  <si>
    <t>BRICO DEPOT</t>
  </si>
  <si>
    <t>Assurance</t>
  </si>
  <si>
    <t>CAISSE</t>
  </si>
  <si>
    <t xml:space="preserve">Facture EDF du </t>
  </si>
  <si>
    <t>goulotte pour le local sono</t>
  </si>
  <si>
    <t>frais de gestion</t>
  </si>
  <si>
    <t>edf</t>
  </si>
  <si>
    <t>intermarché</t>
  </si>
  <si>
    <t>CCF</t>
  </si>
  <si>
    <t xml:space="preserve">Facture téléphone du </t>
  </si>
  <si>
    <t>EDF</t>
  </si>
  <si>
    <t>Remboursement de frais</t>
  </si>
  <si>
    <t>Jean-Paul</t>
  </si>
  <si>
    <t>Remise de chèques</t>
  </si>
  <si>
    <t>La poste</t>
  </si>
  <si>
    <t>Remise de chèques cotisation 2008</t>
  </si>
  <si>
    <t>MAIF</t>
  </si>
  <si>
    <t>Remise d'espèces</t>
  </si>
  <si>
    <t>ORANGE</t>
  </si>
  <si>
    <t>Taxe d'habitation</t>
  </si>
  <si>
    <t>SGS</t>
  </si>
  <si>
    <t>Taxe Foncière</t>
  </si>
  <si>
    <t>Trésor Public</t>
  </si>
  <si>
    <t>Timbres FFN ou FFCC</t>
  </si>
  <si>
    <t>Transfert de compte à compte</t>
  </si>
  <si>
    <t>Commission Facture Bnp</t>
  </si>
  <si>
    <t>LES HESPERIDES</t>
  </si>
  <si>
    <t>2011/2012</t>
  </si>
  <si>
    <t>RAPPROCHEMENT BNP</t>
  </si>
  <si>
    <t>Solde à la banque au 31/10/2011</t>
  </si>
  <si>
    <t>Sommes non créditées en banque</t>
  </si>
  <si>
    <t>Remise Chèque n° 13/2011</t>
  </si>
  <si>
    <t>Remise Chèque n° 14/2011</t>
  </si>
  <si>
    <t>Solde dans nos livres au 31/10/2011</t>
  </si>
  <si>
    <t>Solde à la banque au 30/11/2011</t>
  </si>
  <si>
    <t>Solde dans nos livres au 30/11/2011</t>
  </si>
  <si>
    <t>exercice 2014</t>
  </si>
  <si>
    <t xml:space="preserve"> </t>
  </si>
  <si>
    <t>novembre14</t>
  </si>
  <si>
    <t>REPORT</t>
  </si>
  <si>
    <t>Cumuls du : Compte courant
Compte épargne, Livret A
Caisse débits/crédits</t>
  </si>
  <si>
    <t>VENTILATION DES DEBITS - CLASSE 6</t>
  </si>
  <si>
    <t>VENTILATION DES CREDITS - CLASSE 7</t>
  </si>
  <si>
    <t>B.N.P - 512</t>
  </si>
  <si>
    <t>C.Epargne BNP</t>
  </si>
  <si>
    <t>Livret A</t>
  </si>
  <si>
    <t>Caisse - 531</t>
  </si>
  <si>
    <t>COMPTE</t>
  </si>
  <si>
    <t>A</t>
  </si>
  <si>
    <t>Date</t>
  </si>
  <si>
    <t>Clients &amp; Fournis.</t>
  </si>
  <si>
    <t>Bord-x</t>
  </si>
  <si>
    <t>Chè</t>
  </si>
  <si>
    <t>Esp</t>
  </si>
  <si>
    <t>Rel</t>
  </si>
  <si>
    <t>DEBITS</t>
  </si>
  <si>
    <t>CREDITS</t>
  </si>
  <si>
    <t>Débit</t>
  </si>
  <si>
    <t>Crédit</t>
  </si>
  <si>
    <t>Gestion</t>
  </si>
  <si>
    <t>Frais Finan
compte 66</t>
  </si>
  <si>
    <t>Fonctionn.</t>
  </si>
  <si>
    <t>Energie
compte 6061</t>
  </si>
  <si>
    <t>Entretien
compte 6063</t>
  </si>
  <si>
    <t>Equipement
compte 605</t>
  </si>
  <si>
    <t>Divers</t>
  </si>
  <si>
    <t>Travaux    compte 758</t>
  </si>
  <si>
    <t>Cotisations compte 75</t>
  </si>
  <si>
    <t>Visite/Séjour
compte 708</t>
  </si>
  <si>
    <t>Caution Clé - 
compte 713</t>
  </si>
  <si>
    <t>Produits fina - compte 76</t>
  </si>
  <si>
    <t>Divers
 compte 77</t>
  </si>
  <si>
    <t>BNP</t>
  </si>
  <si>
    <t>frais gestion  cpte</t>
  </si>
  <si>
    <t>prélv</t>
  </si>
  <si>
    <t>x</t>
  </si>
  <si>
    <t>free télécom</t>
  </si>
  <si>
    <t>électricité</t>
  </si>
  <si>
    <t>FFN</t>
  </si>
  <si>
    <t>remb avoir ffn</t>
  </si>
  <si>
    <t>virement</t>
  </si>
  <si>
    <t>clé magnétique</t>
  </si>
  <si>
    <t>remb clé mr BOURDEAU</t>
  </si>
  <si>
    <t>3965536</t>
  </si>
  <si>
    <t>virement à cpt à cpt</t>
  </si>
  <si>
    <t>X</t>
  </si>
  <si>
    <t>TOTAL    NOVEMBRE</t>
  </si>
  <si>
    <t>C-Débits du mois</t>
  </si>
  <si>
    <t>C-des crédits du mois</t>
  </si>
  <si>
    <t>C-Débits du mois (Ventilation)</t>
  </si>
  <si>
    <t>C-crédits depuis le 01/11/14</t>
  </si>
  <si>
    <t>POSITONS    fin   OCTOBRE</t>
  </si>
  <si>
    <t>B.N.P :</t>
  </si>
  <si>
    <t>B.N.P C.E:</t>
  </si>
  <si>
    <t>B.N.P. Livret :</t>
  </si>
  <si>
    <t>B.N.P &gt; C.E.</t>
  </si>
  <si>
    <t>C.A &gt; C.E.</t>
  </si>
  <si>
    <t>POSITONS    fin   NOVEMBRE</t>
  </si>
  <si>
    <t>B.N.P &gt; C.A.</t>
  </si>
</sst>
</file>

<file path=xl/styles.xml><?xml version="1.0" encoding="utf-8"?>
<styleSheet xmlns="http://schemas.openxmlformats.org/spreadsheetml/2006/main">
  <numFmts count="3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F&quot;;[Red]\-#,##0.00\ &quot;F&quot;"/>
    <numFmt numFmtId="181" formatCode="#,##0.00\ &quot;F&quot;;\-#,##0.00\ &quot;F&quot;"/>
    <numFmt numFmtId="182" formatCode="_-* #,##0.00\ &quot;F&quot;_-;\-* #,##0.00\ &quot;F&quot;_-;_-* &quot;-&quot;??\ &quot;F&quot;_-;_-@_-"/>
    <numFmt numFmtId="183" formatCode="#,##0_ ;\-#,##0\ "/>
    <numFmt numFmtId="184" formatCode="#,##0.00\ &quot;€&quot;"/>
    <numFmt numFmtId="185" formatCode="d/m/yy;@"/>
    <numFmt numFmtId="186" formatCode="mmm\-yyyy"/>
    <numFmt numFmtId="187" formatCode="0.000000"/>
    <numFmt numFmtId="188" formatCode="0.00000000000000"/>
    <numFmt numFmtId="189" formatCode="0.0000000000000"/>
    <numFmt numFmtId="190" formatCode="#,##0.00_€"/>
    <numFmt numFmtId="191" formatCode="#,##0.00&quot;€&quot;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24"/>
      <color indexed="48"/>
      <name val="Castellar"/>
      <family val="1"/>
    </font>
    <font>
      <b/>
      <i/>
      <sz val="18"/>
      <color indexed="48"/>
      <name val="Castellar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Accounting"/>
      <sz val="9"/>
      <name val="Arial"/>
      <family val="0"/>
    </font>
    <font>
      <b/>
      <i/>
      <u val="singleAccounting"/>
      <sz val="9"/>
      <name val="Arial"/>
      <family val="0"/>
    </font>
    <font>
      <b/>
      <sz val="10"/>
      <color indexed="8"/>
      <name val="Arial"/>
      <family val="0"/>
    </font>
    <font>
      <sz val="8"/>
      <name val="Verdana"/>
      <family val="0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.45"/>
      <color indexed="8"/>
      <name val="Calibri"/>
      <family val="0"/>
    </font>
    <font>
      <b/>
      <sz val="18"/>
      <color indexed="8"/>
      <name val="Calibri"/>
      <family val="0"/>
    </font>
    <font>
      <u val="single"/>
      <strike/>
      <sz val="20"/>
      <color indexed="8"/>
      <name val="Times New Roman"/>
      <family val="0"/>
    </font>
    <font>
      <u val="single"/>
      <strike/>
      <sz val="36"/>
      <color indexed="54"/>
      <name val="Times New Roman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2" applyNumberFormat="0" applyFill="0" applyAlignment="0" applyProtection="0"/>
    <xf numFmtId="0" fontId="0" fillId="20" borderId="3" applyNumberFormat="0" applyFont="0" applyAlignment="0" applyProtection="0"/>
    <xf numFmtId="0" fontId="50" fillId="7" borderId="1" applyNumberFormat="0" applyAlignment="0" applyProtection="0"/>
    <xf numFmtId="0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4" fillId="7" borderId="4" applyNumberFormat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56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2" borderId="9" applyNumberFormat="0" applyAlignment="0" applyProtection="0"/>
  </cellStyleXfs>
  <cellXfs count="895">
    <xf numFmtId="0" fontId="0" fillId="0" borderId="0" xfId="0" applyAlignment="1">
      <alignment/>
    </xf>
    <xf numFmtId="2" fontId="2" fillId="0" borderId="10" xfId="0" applyNumberFormat="1" applyFont="1" applyBorder="1" applyAlignment="1" applyProtection="1">
      <alignment/>
      <protection locked="0"/>
    </xf>
    <xf numFmtId="2" fontId="3" fillId="2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180" fontId="15" fillId="0" borderId="0" xfId="0" applyNumberFormat="1" applyFont="1" applyBorder="1" applyAlignment="1">
      <alignment horizontal="left"/>
    </xf>
    <xf numFmtId="180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20" fillId="0" borderId="0" xfId="0" applyNumberFormat="1" applyFont="1" applyAlignment="1">
      <alignment/>
    </xf>
    <xf numFmtId="0" fontId="0" fillId="0" borderId="0" xfId="44" applyAlignment="1">
      <alignment/>
    </xf>
    <xf numFmtId="180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80" fontId="13" fillId="20" borderId="0" xfId="0" applyNumberFormat="1" applyFont="1" applyFill="1" applyAlignment="1">
      <alignment/>
    </xf>
    <xf numFmtId="180" fontId="22" fillId="20" borderId="0" xfId="0" applyNumberFormat="1" applyFont="1" applyFill="1" applyAlignment="1">
      <alignment horizontal="center"/>
    </xf>
    <xf numFmtId="180" fontId="13" fillId="20" borderId="0" xfId="0" applyNumberFormat="1" applyFont="1" applyFill="1" applyAlignment="1">
      <alignment horizontal="center"/>
    </xf>
    <xf numFmtId="0" fontId="23" fillId="20" borderId="0" xfId="0" applyNumberFormat="1" applyFont="1" applyFill="1" applyAlignment="1">
      <alignment horizontal="center"/>
    </xf>
    <xf numFmtId="180" fontId="13" fillId="0" borderId="14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0" fontId="13" fillId="0" borderId="0" xfId="0" applyFont="1" applyAlignment="1">
      <alignment/>
    </xf>
    <xf numFmtId="181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180" fontId="20" fillId="0" borderId="0" xfId="0" applyNumberFormat="1" applyFont="1" applyAlignment="1">
      <alignment/>
    </xf>
    <xf numFmtId="0" fontId="16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20" fillId="0" borderId="0" xfId="0" applyFont="1" applyAlignment="1">
      <alignment/>
    </xf>
    <xf numFmtId="180" fontId="20" fillId="0" borderId="0" xfId="0" applyNumberFormat="1" applyFont="1" applyAlignment="1">
      <alignment horizontal="right"/>
    </xf>
    <xf numFmtId="180" fontId="25" fillId="0" borderId="0" xfId="0" applyNumberFormat="1" applyFont="1" applyAlignment="1">
      <alignment/>
    </xf>
    <xf numFmtId="180" fontId="16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0" fontId="25" fillId="0" borderId="10" xfId="0" applyFont="1" applyBorder="1" applyAlignment="1">
      <alignment/>
    </xf>
    <xf numFmtId="2" fontId="3" fillId="2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0" fontId="28" fillId="0" borderId="0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" fillId="0" borderId="0" xfId="55" applyFont="1">
      <alignment/>
      <protection/>
    </xf>
    <xf numFmtId="180" fontId="29" fillId="0" borderId="18" xfId="55" applyNumberFormat="1" applyFont="1" applyBorder="1" applyAlignment="1">
      <alignment vertical="center"/>
      <protection/>
    </xf>
    <xf numFmtId="180" fontId="15" fillId="0" borderId="11" xfId="55" applyNumberFormat="1" applyFont="1" applyBorder="1" applyAlignment="1">
      <alignment vertical="center"/>
      <protection/>
    </xf>
    <xf numFmtId="0" fontId="29" fillId="0" borderId="10" xfId="55" applyNumberFormat="1" applyFont="1" applyBorder="1" applyAlignment="1">
      <alignment vertical="center"/>
      <protection/>
    </xf>
    <xf numFmtId="180" fontId="29" fillId="0" borderId="10" xfId="55" applyNumberFormat="1" applyFont="1" applyBorder="1" applyAlignment="1">
      <alignment horizontal="right" vertical="center"/>
      <protection/>
    </xf>
    <xf numFmtId="0" fontId="29" fillId="20" borderId="10" xfId="55" applyNumberFormat="1" applyFont="1" applyFill="1" applyBorder="1" applyAlignment="1">
      <alignment horizontal="center" vertical="center"/>
      <protection/>
    </xf>
    <xf numFmtId="180" fontId="29" fillId="20" borderId="10" xfId="55" applyNumberFormat="1" applyFont="1" applyFill="1" applyBorder="1" applyAlignment="1">
      <alignment horizontal="center" vertical="center"/>
      <protection/>
    </xf>
    <xf numFmtId="0" fontId="0" fillId="20" borderId="15" xfId="55" applyFill="1" applyBorder="1">
      <alignment/>
      <protection/>
    </xf>
    <xf numFmtId="180" fontId="32" fillId="24" borderId="19" xfId="55" applyNumberFormat="1" applyFont="1" applyFill="1" applyBorder="1">
      <alignment/>
      <protection/>
    </xf>
    <xf numFmtId="0" fontId="32" fillId="24" borderId="10" xfId="55" applyNumberFormat="1" applyFont="1" applyFill="1" applyBorder="1">
      <alignment/>
      <protection/>
    </xf>
    <xf numFmtId="180" fontId="32" fillId="24" borderId="10" xfId="55" applyNumberFormat="1" applyFont="1" applyFill="1" applyBorder="1">
      <alignment/>
      <protection/>
    </xf>
    <xf numFmtId="0" fontId="0" fillId="20" borderId="10" xfId="55" applyFill="1" applyBorder="1">
      <alignment/>
      <protection/>
    </xf>
    <xf numFmtId="0" fontId="0" fillId="20" borderId="20" xfId="55" applyFill="1" applyBorder="1">
      <alignment/>
      <protection/>
    </xf>
    <xf numFmtId="180" fontId="32" fillId="0" borderId="19" xfId="55" applyNumberFormat="1" applyFont="1" applyBorder="1">
      <alignment/>
      <protection/>
    </xf>
    <xf numFmtId="0" fontId="32" fillId="0" borderId="10" xfId="55" applyNumberFormat="1" applyFont="1" applyBorder="1">
      <alignment/>
      <protection/>
    </xf>
    <xf numFmtId="10" fontId="32" fillId="0" borderId="10" xfId="55" applyNumberFormat="1" applyFont="1" applyBorder="1">
      <alignment/>
      <protection/>
    </xf>
    <xf numFmtId="178" fontId="0" fillId="4" borderId="10" xfId="55" applyNumberFormat="1" applyFill="1" applyBorder="1">
      <alignment/>
      <protection/>
    </xf>
    <xf numFmtId="10" fontId="0" fillId="4" borderId="10" xfId="55" applyNumberFormat="1" applyFill="1" applyBorder="1">
      <alignment/>
      <protection/>
    </xf>
    <xf numFmtId="10" fontId="32" fillId="24" borderId="10" xfId="55" applyNumberFormat="1" applyFont="1" applyFill="1" applyBorder="1">
      <alignment/>
      <protection/>
    </xf>
    <xf numFmtId="178" fontId="0" fillId="24" borderId="10" xfId="55" applyNumberFormat="1" applyFill="1" applyBorder="1">
      <alignment/>
      <protection/>
    </xf>
    <xf numFmtId="10" fontId="0" fillId="0" borderId="10" xfId="55" applyNumberFormat="1" applyBorder="1">
      <alignment/>
      <protection/>
    </xf>
    <xf numFmtId="10" fontId="31" fillId="24" borderId="10" xfId="55" applyNumberFormat="1" applyFont="1" applyFill="1" applyBorder="1">
      <alignment/>
      <protection/>
    </xf>
    <xf numFmtId="0" fontId="32" fillId="0" borderId="19" xfId="55" applyFont="1" applyBorder="1">
      <alignment/>
      <protection/>
    </xf>
    <xf numFmtId="0" fontId="32" fillId="24" borderId="19" xfId="55" applyFont="1" applyFill="1" applyBorder="1">
      <alignment/>
      <protection/>
    </xf>
    <xf numFmtId="0" fontId="30" fillId="24" borderId="10" xfId="55" applyNumberFormat="1" applyFont="1" applyFill="1" applyBorder="1">
      <alignment/>
      <protection/>
    </xf>
    <xf numFmtId="0" fontId="0" fillId="24" borderId="10" xfId="55" applyFill="1" applyBorder="1">
      <alignment/>
      <protection/>
    </xf>
    <xf numFmtId="0" fontId="32" fillId="0" borderId="19" xfId="55" applyFont="1" applyBorder="1" applyAlignment="1">
      <alignment vertical="center"/>
      <protection/>
    </xf>
    <xf numFmtId="0" fontId="30" fillId="0" borderId="10" xfId="55" applyNumberFormat="1" applyFont="1" applyBorder="1" applyAlignment="1">
      <alignment vertical="center"/>
      <protection/>
    </xf>
    <xf numFmtId="10" fontId="31" fillId="0" borderId="10" xfId="55" applyNumberFormat="1" applyFont="1" applyBorder="1" applyAlignment="1">
      <alignment vertical="center"/>
      <protection/>
    </xf>
    <xf numFmtId="178" fontId="25" fillId="4" borderId="10" xfId="55" applyNumberFormat="1" applyFont="1" applyFill="1" applyBorder="1">
      <alignment/>
      <protection/>
    </xf>
    <xf numFmtId="180" fontId="29" fillId="0" borderId="11" xfId="55" applyNumberFormat="1" applyFont="1" applyBorder="1" applyAlignment="1">
      <alignment vertical="center"/>
      <protection/>
    </xf>
    <xf numFmtId="0" fontId="0" fillId="20" borderId="21" xfId="55" applyFill="1" applyBorder="1">
      <alignment/>
      <protection/>
    </xf>
    <xf numFmtId="0" fontId="32" fillId="24" borderId="10" xfId="55" applyFont="1" applyFill="1" applyBorder="1">
      <alignment/>
      <protection/>
    </xf>
    <xf numFmtId="180" fontId="31" fillId="0" borderId="19" xfId="55" applyNumberFormat="1" applyFont="1" applyBorder="1" applyAlignment="1">
      <alignment vertical="center"/>
      <protection/>
    </xf>
    <xf numFmtId="180" fontId="32" fillId="0" borderId="18" xfId="55" applyNumberFormat="1" applyFont="1" applyBorder="1">
      <alignment/>
      <protection/>
    </xf>
    <xf numFmtId="0" fontId="32" fillId="0" borderId="22" xfId="55" applyNumberFormat="1" applyFont="1" applyBorder="1">
      <alignment/>
      <protection/>
    </xf>
    <xf numFmtId="0" fontId="0" fillId="0" borderId="0" xfId="55" applyFill="1">
      <alignment/>
      <protection/>
    </xf>
    <xf numFmtId="0" fontId="0" fillId="0" borderId="22" xfId="55" applyFill="1" applyBorder="1">
      <alignment/>
      <protection/>
    </xf>
    <xf numFmtId="180" fontId="32" fillId="0" borderId="12" xfId="55" applyNumberFormat="1" applyFont="1" applyBorder="1">
      <alignment/>
      <protection/>
    </xf>
    <xf numFmtId="0" fontId="33" fillId="0" borderId="12" xfId="55" applyFont="1" applyBorder="1">
      <alignment/>
      <protection/>
    </xf>
    <xf numFmtId="0" fontId="32" fillId="0" borderId="21" xfId="55" applyNumberFormat="1" applyFont="1" applyBorder="1">
      <alignment/>
      <protection/>
    </xf>
    <xf numFmtId="0" fontId="0" fillId="0" borderId="21" xfId="55" applyFill="1" applyBorder="1">
      <alignment/>
      <protection/>
    </xf>
    <xf numFmtId="0" fontId="32" fillId="0" borderId="12" xfId="55" applyFont="1" applyBorder="1">
      <alignment/>
      <protection/>
    </xf>
    <xf numFmtId="0" fontId="31" fillId="0" borderId="21" xfId="55" applyNumberFormat="1" applyFont="1" applyBorder="1">
      <alignment/>
      <protection/>
    </xf>
    <xf numFmtId="0" fontId="31" fillId="20" borderId="19" xfId="55" applyFont="1" applyFill="1" applyBorder="1" applyAlignment="1">
      <alignment vertical="center"/>
      <protection/>
    </xf>
    <xf numFmtId="0" fontId="12" fillId="20" borderId="10" xfId="55" applyNumberFormat="1" applyFont="1" applyFill="1" applyBorder="1" applyAlignment="1">
      <alignment vertical="center"/>
      <protection/>
    </xf>
    <xf numFmtId="0" fontId="32" fillId="0" borderId="21" xfId="55" applyNumberFormat="1" applyFont="1" applyBorder="1" applyAlignment="1">
      <alignment vertical="center"/>
      <protection/>
    </xf>
    <xf numFmtId="178" fontId="12" fillId="20" borderId="10" xfId="55" applyNumberFormat="1" applyFont="1" applyFill="1" applyBorder="1">
      <alignment/>
      <protection/>
    </xf>
    <xf numFmtId="0" fontId="32" fillId="0" borderId="12" xfId="55" applyFont="1" applyFill="1" applyBorder="1">
      <alignment/>
      <protection/>
    </xf>
    <xf numFmtId="0" fontId="32" fillId="0" borderId="12" xfId="55" applyNumberFormat="1" applyFont="1" applyFill="1" applyBorder="1">
      <alignment/>
      <protection/>
    </xf>
    <xf numFmtId="180" fontId="32" fillId="0" borderId="12" xfId="55" applyNumberFormat="1" applyFont="1" applyFill="1" applyBorder="1">
      <alignment/>
      <protection/>
    </xf>
    <xf numFmtId="0" fontId="31" fillId="0" borderId="21" xfId="55" applyNumberFormat="1" applyFont="1" applyFill="1" applyBorder="1">
      <alignment/>
      <protection/>
    </xf>
    <xf numFmtId="0" fontId="0" fillId="0" borderId="20" xfId="55" applyBorder="1">
      <alignment/>
      <protection/>
    </xf>
    <xf numFmtId="49" fontId="31" fillId="0" borderId="18" xfId="55" applyNumberFormat="1" applyFont="1" applyFill="1" applyBorder="1" applyAlignment="1">
      <alignment wrapText="1"/>
      <protection/>
    </xf>
    <xf numFmtId="49" fontId="31" fillId="7" borderId="10" xfId="55" applyNumberFormat="1" applyFont="1" applyFill="1" applyBorder="1" applyAlignment="1">
      <alignment vertical="center"/>
      <protection/>
    </xf>
    <xf numFmtId="0" fontId="31" fillId="7" borderId="16" xfId="55" applyNumberFormat="1" applyFont="1" applyFill="1" applyBorder="1" applyAlignment="1">
      <alignment wrapText="1"/>
      <protection/>
    </xf>
    <xf numFmtId="0" fontId="13" fillId="0" borderId="10" xfId="55" applyFont="1" applyBorder="1">
      <alignment/>
      <protection/>
    </xf>
    <xf numFmtId="49" fontId="31" fillId="0" borderId="12" xfId="55" applyNumberFormat="1" applyFont="1" applyFill="1" applyBorder="1" applyAlignment="1">
      <alignment/>
      <protection/>
    </xf>
    <xf numFmtId="0" fontId="31" fillId="21" borderId="15" xfId="55" applyFont="1" applyFill="1" applyBorder="1">
      <alignment/>
      <protection/>
    </xf>
    <xf numFmtId="178" fontId="31" fillId="21" borderId="15" xfId="55" applyNumberFormat="1" applyFont="1" applyFill="1" applyBorder="1">
      <alignment/>
      <protection/>
    </xf>
    <xf numFmtId="178" fontId="32" fillId="0" borderId="10" xfId="55" applyNumberFormat="1" applyFont="1" applyFill="1" applyBorder="1">
      <alignment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49" fontId="32" fillId="0" borderId="12" xfId="55" applyNumberFormat="1" applyFont="1" applyFill="1" applyBorder="1" applyAlignment="1">
      <alignment/>
      <protection/>
    </xf>
    <xf numFmtId="180" fontId="31" fillId="21" borderId="12" xfId="55" applyNumberFormat="1" applyFont="1" applyFill="1" applyBorder="1">
      <alignment/>
      <protection/>
    </xf>
    <xf numFmtId="178" fontId="31" fillId="21" borderId="23" xfId="55" applyNumberFormat="1" applyFont="1" applyFill="1" applyBorder="1">
      <alignment/>
      <protection/>
    </xf>
    <xf numFmtId="0" fontId="32" fillId="0" borderId="0" xfId="55" applyFont="1" applyFill="1">
      <alignment/>
      <protection/>
    </xf>
    <xf numFmtId="0" fontId="32" fillId="21" borderId="20" xfId="55" applyFont="1" applyFill="1" applyBorder="1">
      <alignment/>
      <protection/>
    </xf>
    <xf numFmtId="178" fontId="32" fillId="21" borderId="20" xfId="55" applyNumberFormat="1" applyFont="1" applyFill="1" applyBorder="1">
      <alignment/>
      <protection/>
    </xf>
    <xf numFmtId="0" fontId="32" fillId="0" borderId="19" xfId="55" applyFont="1" applyFill="1" applyBorder="1" applyAlignment="1">
      <alignment horizontal="left"/>
      <protection/>
    </xf>
    <xf numFmtId="0" fontId="32" fillId="0" borderId="10" xfId="53" applyNumberFormat="1" applyFont="1" applyFill="1" applyBorder="1" applyAlignment="1">
      <alignment/>
    </xf>
    <xf numFmtId="0" fontId="31" fillId="0" borderId="10" xfId="55" applyNumberFormat="1" applyFont="1" applyFill="1" applyBorder="1">
      <alignment/>
      <protection/>
    </xf>
    <xf numFmtId="180" fontId="31" fillId="0" borderId="19" xfId="55" applyNumberFormat="1" applyFont="1" applyFill="1" applyBorder="1">
      <alignment/>
      <protection/>
    </xf>
    <xf numFmtId="0" fontId="32" fillId="0" borderId="10" xfId="55" applyFont="1" applyFill="1" applyBorder="1">
      <alignment/>
      <protection/>
    </xf>
    <xf numFmtId="0" fontId="33" fillId="0" borderId="10" xfId="55" applyFont="1" applyBorder="1">
      <alignment/>
      <protection/>
    </xf>
    <xf numFmtId="178" fontId="32" fillId="0" borderId="20" xfId="55" applyNumberFormat="1" applyFont="1" applyFill="1" applyBorder="1">
      <alignment/>
      <protection/>
    </xf>
    <xf numFmtId="178" fontId="31" fillId="4" borderId="15" xfId="55" applyNumberFormat="1" applyFont="1" applyFill="1" applyBorder="1">
      <alignment/>
      <protection/>
    </xf>
    <xf numFmtId="180" fontId="31" fillId="4" borderId="12" xfId="55" applyNumberFormat="1" applyFont="1" applyFill="1" applyBorder="1">
      <alignment/>
      <protection/>
    </xf>
    <xf numFmtId="180" fontId="31" fillId="4" borderId="23" xfId="55" applyNumberFormat="1" applyFont="1" applyFill="1" applyBorder="1">
      <alignment/>
      <protection/>
    </xf>
    <xf numFmtId="178" fontId="31" fillId="4" borderId="23" xfId="55" applyNumberFormat="1" applyFont="1" applyFill="1" applyBorder="1">
      <alignment/>
      <protection/>
    </xf>
    <xf numFmtId="0" fontId="32" fillId="4" borderId="20" xfId="55" applyFont="1" applyFill="1" applyBorder="1">
      <alignment/>
      <protection/>
    </xf>
    <xf numFmtId="178" fontId="32" fillId="4" borderId="23" xfId="55" applyNumberFormat="1" applyFont="1" applyFill="1" applyBorder="1">
      <alignment/>
      <protection/>
    </xf>
    <xf numFmtId="49" fontId="32" fillId="0" borderId="0" xfId="55" applyNumberFormat="1" applyFont="1" applyFill="1">
      <alignment/>
      <protection/>
    </xf>
    <xf numFmtId="180" fontId="31" fillId="0" borderId="10" xfId="55" applyNumberFormat="1" applyFont="1" applyFill="1" applyBorder="1">
      <alignment/>
      <protection/>
    </xf>
    <xf numFmtId="178" fontId="31" fillId="0" borderId="10" xfId="55" applyNumberFormat="1" applyFont="1" applyFill="1" applyBorder="1">
      <alignment/>
      <protection/>
    </xf>
    <xf numFmtId="180" fontId="32" fillId="0" borderId="19" xfId="55" applyNumberFormat="1" applyFont="1" applyFill="1" applyBorder="1">
      <alignment/>
      <protection/>
    </xf>
    <xf numFmtId="0" fontId="33" fillId="7" borderId="15" xfId="55" applyFont="1" applyFill="1" applyBorder="1">
      <alignment/>
      <protection/>
    </xf>
    <xf numFmtId="0" fontId="31" fillId="7" borderId="23" xfId="55" applyFont="1" applyFill="1" applyBorder="1" applyAlignment="1">
      <alignment horizontal="left"/>
      <protection/>
    </xf>
    <xf numFmtId="178" fontId="31" fillId="7" borderId="23" xfId="55" applyNumberFormat="1" applyFont="1" applyFill="1" applyBorder="1">
      <alignment/>
      <protection/>
    </xf>
    <xf numFmtId="0" fontId="33" fillId="7" borderId="23" xfId="55" applyFont="1" applyFill="1" applyBorder="1">
      <alignment/>
      <protection/>
    </xf>
    <xf numFmtId="0" fontId="33" fillId="0" borderId="15" xfId="55" applyFont="1" applyFill="1" applyBorder="1">
      <alignment/>
      <protection/>
    </xf>
    <xf numFmtId="0" fontId="33" fillId="0" borderId="23" xfId="55" applyFont="1" applyFill="1" applyBorder="1">
      <alignment/>
      <protection/>
    </xf>
    <xf numFmtId="0" fontId="31" fillId="23" borderId="15" xfId="55" applyFont="1" applyFill="1" applyBorder="1">
      <alignment/>
      <protection/>
    </xf>
    <xf numFmtId="178" fontId="31" fillId="23" borderId="15" xfId="55" applyNumberFormat="1" applyFont="1" applyFill="1" applyBorder="1">
      <alignment/>
      <protection/>
    </xf>
    <xf numFmtId="0" fontId="31" fillId="23" borderId="23" xfId="55" applyFont="1" applyFill="1" applyBorder="1">
      <alignment/>
      <protection/>
    </xf>
    <xf numFmtId="178" fontId="31" fillId="23" borderId="23" xfId="55" applyNumberFormat="1" applyFont="1" applyFill="1" applyBorder="1">
      <alignment/>
      <protection/>
    </xf>
    <xf numFmtId="0" fontId="32" fillId="23" borderId="20" xfId="55" applyFont="1" applyFill="1" applyBorder="1">
      <alignment/>
      <protection/>
    </xf>
    <xf numFmtId="178" fontId="32" fillId="23" borderId="20" xfId="55" applyNumberFormat="1" applyFont="1" applyFill="1" applyBorder="1">
      <alignment/>
      <protection/>
    </xf>
    <xf numFmtId="0" fontId="32" fillId="23" borderId="15" xfId="55" applyFont="1" applyFill="1" applyBorder="1">
      <alignment/>
      <protection/>
    </xf>
    <xf numFmtId="178" fontId="32" fillId="23" borderId="15" xfId="55" applyNumberFormat="1" applyFont="1" applyFill="1" applyBorder="1">
      <alignment/>
      <protection/>
    </xf>
    <xf numFmtId="0" fontId="32" fillId="0" borderId="23" xfId="55" applyFont="1" applyFill="1" applyBorder="1">
      <alignment/>
      <protection/>
    </xf>
    <xf numFmtId="0" fontId="34" fillId="0" borderId="19" xfId="55" applyFont="1" applyBorder="1">
      <alignment/>
      <protection/>
    </xf>
    <xf numFmtId="0" fontId="34" fillId="0" borderId="19" xfId="55" applyFont="1" applyFill="1" applyBorder="1">
      <alignment/>
      <protection/>
    </xf>
    <xf numFmtId="0" fontId="34" fillId="24" borderId="10" xfId="55" applyNumberFormat="1" applyFont="1" applyFill="1" applyBorder="1">
      <alignment/>
      <protection/>
    </xf>
    <xf numFmtId="178" fontId="34" fillId="0" borderId="10" xfId="55" applyNumberFormat="1" applyFont="1" applyFill="1" applyBorder="1">
      <alignment/>
      <protection/>
    </xf>
    <xf numFmtId="0" fontId="18" fillId="24" borderId="2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32" fillId="0" borderId="19" xfId="55" applyFont="1" applyFill="1" applyBorder="1">
      <alignment/>
      <protection/>
    </xf>
    <xf numFmtId="0" fontId="33" fillId="0" borderId="19" xfId="55" applyFont="1" applyBorder="1">
      <alignment/>
      <protection/>
    </xf>
    <xf numFmtId="0" fontId="32" fillId="0" borderId="20" xfId="55" applyFont="1" applyFill="1" applyBorder="1">
      <alignment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0" fontId="31" fillId="0" borderId="12" xfId="55" applyNumberFormat="1" applyFont="1" applyFill="1" applyBorder="1">
      <alignment/>
      <protection/>
    </xf>
    <xf numFmtId="0" fontId="31" fillId="0" borderId="23" xfId="55" applyNumberFormat="1" applyFont="1" applyFill="1" applyBorder="1">
      <alignment/>
      <protection/>
    </xf>
    <xf numFmtId="180" fontId="31" fillId="4" borderId="15" xfId="55" applyNumberFormat="1" applyFont="1" applyFill="1" applyBorder="1">
      <alignment/>
      <protection/>
    </xf>
    <xf numFmtId="178" fontId="32" fillId="4" borderId="20" xfId="55" applyNumberFormat="1" applyFont="1" applyFill="1" applyBorder="1">
      <alignment/>
      <protection/>
    </xf>
    <xf numFmtId="49" fontId="31" fillId="0" borderId="19" xfId="55" applyNumberFormat="1" applyFont="1" applyFill="1" applyBorder="1" applyAlignment="1">
      <alignment/>
      <protection/>
    </xf>
    <xf numFmtId="0" fontId="32" fillId="0" borderId="15" xfId="55" applyFont="1" applyFill="1" applyBorder="1">
      <alignment/>
      <protection/>
    </xf>
    <xf numFmtId="178" fontId="32" fillId="0" borderId="15" xfId="55" applyNumberFormat="1" applyFont="1" applyFill="1" applyBorder="1">
      <alignment/>
      <protection/>
    </xf>
    <xf numFmtId="0" fontId="31" fillId="0" borderId="10" xfId="55" applyFont="1" applyFill="1" applyBorder="1">
      <alignment/>
      <protection/>
    </xf>
    <xf numFmtId="0" fontId="32" fillId="0" borderId="10" xfId="55" applyFont="1" applyFill="1" applyBorder="1" applyAlignment="1">
      <alignment horizontal="left"/>
      <protection/>
    </xf>
    <xf numFmtId="0" fontId="2" fillId="20" borderId="10" xfId="0" applyNumberFormat="1" applyFont="1" applyFill="1" applyBorder="1" applyAlignment="1" applyProtection="1">
      <alignment vertical="center"/>
      <protection locked="0"/>
    </xf>
    <xf numFmtId="0" fontId="2" fillId="20" borderId="15" xfId="0" applyNumberFormat="1" applyFont="1" applyFill="1" applyBorder="1" applyAlignment="1" applyProtection="1">
      <alignment vertical="center"/>
      <protection locked="0"/>
    </xf>
    <xf numFmtId="4" fontId="25" fillId="0" borderId="0" xfId="0" applyNumberFormat="1" applyFont="1" applyAlignment="1">
      <alignment/>
    </xf>
    <xf numFmtId="0" fontId="32" fillId="0" borderId="19" xfId="55" applyFont="1" applyFill="1" applyBorder="1" applyAlignment="1">
      <alignment horizontal="left" wrapText="1"/>
      <protection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175" fontId="31" fillId="7" borderId="23" xfId="55" applyNumberFormat="1" applyFont="1" applyFill="1" applyBorder="1">
      <alignment/>
      <protection/>
    </xf>
    <xf numFmtId="175" fontId="31" fillId="4" borderId="23" xfId="55" applyNumberFormat="1" applyFont="1" applyFill="1" applyBorder="1">
      <alignment/>
      <protection/>
    </xf>
    <xf numFmtId="175" fontId="31" fillId="0" borderId="10" xfId="55" applyNumberFormat="1" applyFont="1" applyFill="1" applyBorder="1">
      <alignment/>
      <protection/>
    </xf>
    <xf numFmtId="175" fontId="33" fillId="0" borderId="23" xfId="55" applyNumberFormat="1" applyFont="1" applyFill="1" applyBorder="1">
      <alignment/>
      <protection/>
    </xf>
    <xf numFmtId="175" fontId="32" fillId="0" borderId="10" xfId="55" applyNumberFormat="1" applyFont="1" applyFill="1" applyBorder="1">
      <alignment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10" fontId="0" fillId="24" borderId="10" xfId="55" applyNumberFormat="1" applyFill="1" applyBorder="1">
      <alignment/>
      <protection/>
    </xf>
    <xf numFmtId="0" fontId="0" fillId="24" borderId="0" xfId="55" applyFill="1">
      <alignment/>
      <protection/>
    </xf>
    <xf numFmtId="0" fontId="28" fillId="24" borderId="17" xfId="55" applyFont="1" applyFill="1" applyBorder="1" applyAlignment="1">
      <alignment horizontal="center"/>
      <protection/>
    </xf>
    <xf numFmtId="0" fontId="29" fillId="24" borderId="10" xfId="55" applyNumberFormat="1" applyFont="1" applyFill="1" applyBorder="1" applyAlignment="1">
      <alignment vertical="center"/>
      <protection/>
    </xf>
    <xf numFmtId="0" fontId="30" fillId="24" borderId="10" xfId="55" applyNumberFormat="1" applyFont="1" applyFill="1" applyBorder="1" applyAlignment="1">
      <alignment vertical="center"/>
      <protection/>
    </xf>
    <xf numFmtId="180" fontId="32" fillId="24" borderId="18" xfId="55" applyNumberFormat="1" applyFont="1" applyFill="1" applyBorder="1">
      <alignment/>
      <protection/>
    </xf>
    <xf numFmtId="180" fontId="32" fillId="24" borderId="12" xfId="55" applyNumberFormat="1" applyFont="1" applyFill="1" applyBorder="1">
      <alignment/>
      <protection/>
    </xf>
    <xf numFmtId="0" fontId="32" fillId="24" borderId="12" xfId="55" applyFont="1" applyFill="1" applyBorder="1">
      <alignment/>
      <protection/>
    </xf>
    <xf numFmtId="0" fontId="12" fillId="24" borderId="10" xfId="55" applyNumberFormat="1" applyFont="1" applyFill="1" applyBorder="1" applyAlignment="1">
      <alignment vertical="center"/>
      <protection/>
    </xf>
    <xf numFmtId="0" fontId="32" fillId="24" borderId="12" xfId="55" applyNumberFormat="1" applyFont="1" applyFill="1" applyBorder="1">
      <alignment/>
      <protection/>
    </xf>
    <xf numFmtId="49" fontId="31" fillId="24" borderId="10" xfId="55" applyNumberFormat="1" applyFont="1" applyFill="1" applyBorder="1" applyAlignment="1">
      <alignment vertical="center"/>
      <protection/>
    </xf>
    <xf numFmtId="0" fontId="31" fillId="24" borderId="15" xfId="55" applyFont="1" applyFill="1" applyBorder="1">
      <alignment/>
      <protection/>
    </xf>
    <xf numFmtId="180" fontId="31" fillId="24" borderId="12" xfId="55" applyNumberFormat="1" applyFont="1" applyFill="1" applyBorder="1">
      <alignment/>
      <protection/>
    </xf>
    <xf numFmtId="0" fontId="32" fillId="24" borderId="20" xfId="55" applyFont="1" applyFill="1" applyBorder="1">
      <alignment/>
      <protection/>
    </xf>
    <xf numFmtId="0" fontId="32" fillId="24" borderId="19" xfId="55" applyFont="1" applyFill="1" applyBorder="1" applyAlignment="1">
      <alignment horizontal="left"/>
      <protection/>
    </xf>
    <xf numFmtId="49" fontId="31" fillId="24" borderId="19" xfId="55" applyNumberFormat="1" applyFont="1" applyFill="1" applyBorder="1" applyAlignment="1">
      <alignment/>
      <protection/>
    </xf>
    <xf numFmtId="180" fontId="31" fillId="24" borderId="19" xfId="55" applyNumberFormat="1" applyFont="1" applyFill="1" applyBorder="1">
      <alignment/>
      <protection/>
    </xf>
    <xf numFmtId="180" fontId="31" fillId="24" borderId="23" xfId="55" applyNumberFormat="1" applyFont="1" applyFill="1" applyBorder="1">
      <alignment/>
      <protection/>
    </xf>
    <xf numFmtId="180" fontId="31" fillId="24" borderId="10" xfId="55" applyNumberFormat="1" applyFont="1" applyFill="1" applyBorder="1">
      <alignment/>
      <protection/>
    </xf>
    <xf numFmtId="0" fontId="33" fillId="24" borderId="15" xfId="55" applyFont="1" applyFill="1" applyBorder="1">
      <alignment/>
      <protection/>
    </xf>
    <xf numFmtId="0" fontId="31" fillId="24" borderId="23" xfId="55" applyFont="1" applyFill="1" applyBorder="1" applyAlignment="1">
      <alignment horizontal="left"/>
      <protection/>
    </xf>
    <xf numFmtId="0" fontId="33" fillId="24" borderId="23" xfId="55" applyFont="1" applyFill="1" applyBorder="1">
      <alignment/>
      <protection/>
    </xf>
    <xf numFmtId="0" fontId="13" fillId="24" borderId="10" xfId="55" applyFont="1" applyFill="1" applyBorder="1" applyAlignment="1">
      <alignment horizontal="left"/>
      <protection/>
    </xf>
    <xf numFmtId="0" fontId="0" fillId="24" borderId="23" xfId="55" applyFont="1" applyFill="1" applyBorder="1">
      <alignment/>
      <protection/>
    </xf>
    <xf numFmtId="0" fontId="31" fillId="24" borderId="10" xfId="55" applyFont="1" applyFill="1" applyBorder="1">
      <alignment/>
      <protection/>
    </xf>
    <xf numFmtId="0" fontId="32" fillId="24" borderId="15" xfId="55" applyFont="1" applyFill="1" applyBorder="1">
      <alignment/>
      <protection/>
    </xf>
    <xf numFmtId="0" fontId="34" fillId="24" borderId="19" xfId="55" applyFont="1" applyFill="1" applyBorder="1">
      <alignment/>
      <protection/>
    </xf>
    <xf numFmtId="175" fontId="0" fillId="24" borderId="10" xfId="55" applyNumberFormat="1" applyFill="1" applyBorder="1">
      <alignment/>
      <protection/>
    </xf>
    <xf numFmtId="0" fontId="29" fillId="0" borderId="10" xfId="55" applyNumberFormat="1" applyFont="1" applyBorder="1" applyAlignment="1">
      <alignment horizontal="center" vertical="center"/>
      <protection/>
    </xf>
    <xf numFmtId="180" fontId="29" fillId="0" borderId="10" xfId="55" applyNumberFormat="1" applyFont="1" applyBorder="1" applyAlignment="1">
      <alignment horizontal="center" vertical="center"/>
      <protection/>
    </xf>
    <xf numFmtId="0" fontId="2" fillId="20" borderId="16" xfId="0" applyNumberFormat="1" applyFont="1" applyFill="1" applyBorder="1" applyAlignment="1" applyProtection="1">
      <alignment vertical="center"/>
      <protection locked="0"/>
    </xf>
    <xf numFmtId="185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44" applyFont="1" applyFill="1" applyAlignment="1">
      <alignment vertical="center"/>
    </xf>
    <xf numFmtId="0" fontId="2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0" fontId="25" fillId="0" borderId="24" xfId="0" applyFont="1" applyFill="1" applyBorder="1" applyAlignment="1">
      <alignment vertical="center"/>
    </xf>
    <xf numFmtId="2" fontId="3" fillId="24" borderId="11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8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7" borderId="10" xfId="0" applyNumberFormat="1" applyFont="1" applyFill="1" applyBorder="1" applyAlignment="1">
      <alignment vertical="center"/>
    </xf>
    <xf numFmtId="0" fontId="2" fillId="20" borderId="28" xfId="0" applyNumberFormat="1" applyFont="1" applyFill="1" applyBorder="1" applyAlignment="1" applyProtection="1">
      <alignment vertical="center"/>
      <protection locked="0"/>
    </xf>
    <xf numFmtId="0" fontId="2" fillId="20" borderId="29" xfId="0" applyNumberFormat="1" applyFont="1" applyFill="1" applyBorder="1" applyAlignment="1" applyProtection="1">
      <alignment vertical="center"/>
      <protection locked="0"/>
    </xf>
    <xf numFmtId="0" fontId="2" fillId="6" borderId="28" xfId="0" applyNumberFormat="1" applyFont="1" applyFill="1" applyBorder="1" applyAlignment="1" applyProtection="1">
      <alignment vertical="center"/>
      <protection locked="0"/>
    </xf>
    <xf numFmtId="0" fontId="2" fillId="6" borderId="19" xfId="0" applyNumberFormat="1" applyFont="1" applyFill="1" applyBorder="1" applyAlignment="1" applyProtection="1">
      <alignment vertical="center"/>
      <protection locked="0"/>
    </xf>
    <xf numFmtId="0" fontId="2" fillId="4" borderId="28" xfId="0" applyNumberFormat="1" applyFont="1" applyFill="1" applyBorder="1" applyAlignment="1" applyProtection="1">
      <alignment vertical="center"/>
      <protection locked="0"/>
    </xf>
    <xf numFmtId="0" fontId="2" fillId="4" borderId="29" xfId="0" applyNumberFormat="1" applyFont="1" applyFill="1" applyBorder="1" applyAlignment="1" applyProtection="1">
      <alignment vertical="center"/>
      <protection locked="0"/>
    </xf>
    <xf numFmtId="0" fontId="2" fillId="25" borderId="16" xfId="0" applyNumberFormat="1" applyFont="1" applyFill="1" applyBorder="1" applyAlignment="1" applyProtection="1">
      <alignment vertical="center"/>
      <protection locked="0"/>
    </xf>
    <xf numFmtId="0" fontId="2" fillId="25" borderId="10" xfId="0" applyNumberFormat="1" applyFont="1" applyFill="1" applyBorder="1" applyAlignment="1" applyProtection="1">
      <alignment vertical="center"/>
      <protection locked="0"/>
    </xf>
    <xf numFmtId="181" fontId="8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9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0" borderId="28" xfId="0" applyNumberFormat="1" applyFont="1" applyFill="1" applyBorder="1" applyAlignment="1" applyProtection="1">
      <alignment horizontal="right" vertical="center"/>
      <protection locked="0"/>
    </xf>
    <xf numFmtId="17" fontId="2" fillId="0" borderId="16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181" fontId="8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2" fontId="8" fillId="24" borderId="10" xfId="0" applyNumberFormat="1" applyFont="1" applyFill="1" applyBorder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vertical="center"/>
      <protection locked="0"/>
    </xf>
    <xf numFmtId="181" fontId="2" fillId="0" borderId="16" xfId="0" applyNumberFormat="1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horizontal="left" vertical="center"/>
    </xf>
    <xf numFmtId="181" fontId="6" fillId="0" borderId="31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26" borderId="31" xfId="0" applyNumberFormat="1" applyFont="1" applyFill="1" applyBorder="1" applyAlignment="1">
      <alignment horizontal="right" vertical="center"/>
    </xf>
    <xf numFmtId="0" fontId="6" fillId="27" borderId="31" xfId="0" applyNumberFormat="1" applyFont="1" applyFill="1" applyBorder="1" applyAlignment="1">
      <alignment horizontal="right" vertical="center"/>
    </xf>
    <xf numFmtId="0" fontId="6" fillId="0" borderId="31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9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2" fillId="26" borderId="0" xfId="0" applyNumberFormat="1" applyFont="1" applyFill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9" fillId="27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26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182" fontId="6" fillId="0" borderId="0" xfId="44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6" fillId="27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81" fontId="7" fillId="0" borderId="0" xfId="0" applyNumberFormat="1" applyFont="1" applyBorder="1" applyAlignment="1">
      <alignment horizontal="left" vertical="center"/>
    </xf>
    <xf numFmtId="181" fontId="7" fillId="0" borderId="3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6" borderId="31" xfId="0" applyNumberFormat="1" applyFont="1" applyFill="1" applyBorder="1" applyAlignment="1">
      <alignment horizontal="right" vertical="center"/>
    </xf>
    <xf numFmtId="0" fontId="7" fillId="27" borderId="31" xfId="0" applyNumberFormat="1" applyFont="1" applyFill="1" applyBorder="1" applyAlignment="1">
      <alignment horizontal="right" vertical="center"/>
    </xf>
    <xf numFmtId="0" fontId="7" fillId="0" borderId="31" xfId="0" applyNumberFormat="1" applyFont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0" fontId="2" fillId="26" borderId="31" xfId="0" applyNumberFormat="1" applyFont="1" applyFill="1" applyBorder="1" applyAlignment="1">
      <alignment vertical="center"/>
    </xf>
    <xf numFmtId="182" fontId="6" fillId="0" borderId="0" xfId="0" applyNumberFormat="1" applyFont="1" applyAlignment="1">
      <alignment vertical="center"/>
    </xf>
    <xf numFmtId="181" fontId="10" fillId="0" borderId="31" xfId="0" applyNumberFormat="1" applyFont="1" applyBorder="1" applyAlignment="1">
      <alignment horizontal="left" vertical="center"/>
    </xf>
    <xf numFmtId="180" fontId="10" fillId="0" borderId="33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4" fillId="4" borderId="3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31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0" fontId="7" fillId="0" borderId="0" xfId="44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23" borderId="0" xfId="0" applyFont="1" applyFill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7" borderId="0" xfId="0" applyNumberFormat="1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82" fontId="10" fillId="0" borderId="32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181" fontId="4" fillId="0" borderId="34" xfId="0" applyNumberFormat="1" applyFont="1" applyBorder="1" applyAlignment="1">
      <alignment horizontal="left" vertical="center"/>
    </xf>
    <xf numFmtId="180" fontId="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4" fillId="4" borderId="36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33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44" applyFont="1" applyFill="1" applyBorder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182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left" vertical="center"/>
    </xf>
    <xf numFmtId="0" fontId="3" fillId="0" borderId="0" xfId="44" applyFont="1" applyFill="1" applyAlignment="1">
      <alignment horizontal="right" vertical="center"/>
    </xf>
    <xf numFmtId="2" fontId="11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NumberFormat="1" applyFont="1" applyFill="1" applyAlignment="1">
      <alignment horizontal="right" vertical="center"/>
    </xf>
    <xf numFmtId="0" fontId="11" fillId="0" borderId="0" xfId="44" applyFont="1" applyFill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28" xfId="0" applyNumberFormat="1" applyFont="1" applyFill="1" applyBorder="1" applyAlignment="1" applyProtection="1">
      <alignment vertical="center"/>
      <protection locked="0"/>
    </xf>
    <xf numFmtId="0" fontId="2" fillId="3" borderId="38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Border="1" applyAlignment="1">
      <alignment vertical="center"/>
    </xf>
    <xf numFmtId="0" fontId="4" fillId="4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181" fontId="2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 horizontal="center" vertical="center"/>
      <protection/>
    </xf>
    <xf numFmtId="0" fontId="2" fillId="0" borderId="0" xfId="44" applyFont="1" applyFill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2" fontId="2" fillId="24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3" fontId="7" fillId="0" borderId="33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2" fillId="7" borderId="10" xfId="0" applyNumberFormat="1" applyFont="1" applyFill="1" applyBorder="1" applyAlignment="1" applyProtection="1">
      <alignment vertical="center"/>
      <protection/>
    </xf>
    <xf numFmtId="0" fontId="2" fillId="25" borderId="19" xfId="0" applyNumberFormat="1" applyFont="1" applyFill="1" applyBorder="1" applyAlignment="1" applyProtection="1">
      <alignment vertical="center"/>
      <protection locked="0"/>
    </xf>
    <xf numFmtId="0" fontId="2" fillId="25" borderId="0" xfId="0" applyFont="1" applyFill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25" borderId="0" xfId="0" applyFont="1" applyFill="1" applyBorder="1" applyAlignment="1">
      <alignment vertical="center"/>
    </xf>
    <xf numFmtId="14" fontId="2" fillId="0" borderId="10" xfId="0" applyNumberFormat="1" applyFont="1" applyBorder="1" applyAlignment="1" applyProtection="1">
      <alignment vertical="center"/>
      <protection/>
    </xf>
    <xf numFmtId="181" fontId="6" fillId="0" borderId="30" xfId="0" applyNumberFormat="1" applyFont="1" applyBorder="1" applyAlignment="1" applyProtection="1">
      <alignment horizontal="left" vertical="center"/>
      <protection/>
    </xf>
    <xf numFmtId="181" fontId="6" fillId="0" borderId="31" xfId="0" applyNumberFormat="1" applyFont="1" applyBorder="1" applyAlignment="1" applyProtection="1">
      <alignment horizontal="left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6" fillId="26" borderId="31" xfId="0" applyNumberFormat="1" applyFont="1" applyFill="1" applyBorder="1" applyAlignment="1" applyProtection="1">
      <alignment horizontal="right" vertical="center"/>
      <protection/>
    </xf>
    <xf numFmtId="0" fontId="6" fillId="27" borderId="31" xfId="0" applyNumberFormat="1" applyFont="1" applyFill="1" applyBorder="1" applyAlignment="1" applyProtection="1">
      <alignment horizontal="right" vertical="center"/>
      <protection/>
    </xf>
    <xf numFmtId="0" fontId="6" fillId="0" borderId="31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181" fontId="9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2" fillId="26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right" vertical="center"/>
      <protection/>
    </xf>
    <xf numFmtId="0" fontId="9" fillId="27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6" fillId="26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182" fontId="6" fillId="0" borderId="0" xfId="44" applyNumberFormat="1" applyFont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6" fillId="27" borderId="0" xfId="0" applyNumberFormat="1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7" fillId="0" borderId="31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7" fillId="26" borderId="31" xfId="0" applyNumberFormat="1" applyFont="1" applyFill="1" applyBorder="1" applyAlignment="1" applyProtection="1">
      <alignment horizontal="right" vertical="center"/>
      <protection/>
    </xf>
    <xf numFmtId="0" fontId="7" fillId="27" borderId="31" xfId="0" applyNumberFormat="1" applyFont="1" applyFill="1" applyBorder="1" applyAlignment="1" applyProtection="1">
      <alignment horizontal="right" vertical="center"/>
      <protection/>
    </xf>
    <xf numFmtId="0" fontId="7" fillId="0" borderId="31" xfId="0" applyNumberFormat="1" applyFont="1" applyBorder="1" applyAlignment="1" applyProtection="1">
      <alignment horizontal="right" vertical="center"/>
      <protection/>
    </xf>
    <xf numFmtId="0" fontId="7" fillId="0" borderId="32" xfId="0" applyNumberFormat="1" applyFont="1" applyFill="1" applyBorder="1" applyAlignment="1" applyProtection="1">
      <alignment horizontal="right" vertical="center"/>
      <protection/>
    </xf>
    <xf numFmtId="0" fontId="7" fillId="24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Alignment="1" applyProtection="1">
      <alignment vertical="center"/>
      <protection/>
    </xf>
    <xf numFmtId="0" fontId="2" fillId="26" borderId="31" xfId="0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Alignment="1" applyProtection="1">
      <alignment vertical="center"/>
      <protection/>
    </xf>
    <xf numFmtId="181" fontId="10" fillId="0" borderId="31" xfId="0" applyNumberFormat="1" applyFont="1" applyBorder="1" applyAlignment="1" applyProtection="1">
      <alignment horizontal="left" vertical="center"/>
      <protection/>
    </xf>
    <xf numFmtId="180" fontId="10" fillId="0" borderId="33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4" fillId="4" borderId="3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0" fillId="0" borderId="33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9" fillId="0" borderId="33" xfId="0" applyNumberFormat="1" applyFont="1" applyBorder="1" applyAlignment="1" applyProtection="1">
      <alignment vertical="center"/>
      <protection/>
    </xf>
    <xf numFmtId="0" fontId="7" fillId="0" borderId="0" xfId="44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23" borderId="0" xfId="0" applyFont="1" applyFill="1" applyAlignment="1" applyProtection="1">
      <alignment vertical="center"/>
      <protection/>
    </xf>
    <xf numFmtId="180" fontId="2" fillId="0" borderId="0" xfId="0" applyNumberFormat="1" applyFont="1" applyAlignment="1" applyProtection="1">
      <alignment vertical="center"/>
      <protection/>
    </xf>
    <xf numFmtId="0" fontId="2" fillId="7" borderId="0" xfId="0" applyNumberFormat="1" applyFont="1" applyFill="1" applyAlignment="1" applyProtection="1">
      <alignment vertical="center"/>
      <protection/>
    </xf>
    <xf numFmtId="0" fontId="2" fillId="7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2" fillId="0" borderId="30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182" fontId="10" fillId="0" borderId="32" xfId="0" applyNumberFormat="1" applyFont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34" xfId="0" applyNumberFormat="1" applyFont="1" applyBorder="1" applyAlignment="1" applyProtection="1">
      <alignment horizontal="left" vertical="center"/>
      <protection/>
    </xf>
    <xf numFmtId="180" fontId="4" fillId="0" borderId="35" xfId="0" applyNumberFormat="1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4" fillId="4" borderId="3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4" fillId="0" borderId="33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37" xfId="0" applyNumberFormat="1" applyFont="1" applyBorder="1" applyAlignment="1" applyProtection="1">
      <alignment vertical="center"/>
      <protection/>
    </xf>
    <xf numFmtId="182" fontId="4" fillId="0" borderId="0" xfId="0" applyNumberFormat="1" applyFont="1" applyBorder="1" applyAlignment="1" applyProtection="1">
      <alignment vertical="center"/>
      <protection/>
    </xf>
    <xf numFmtId="0" fontId="4" fillId="0" borderId="0" xfId="44" applyFont="1" applyFill="1" applyBorder="1" applyAlignment="1" applyProtection="1">
      <alignment vertical="center"/>
      <protection/>
    </xf>
    <xf numFmtId="2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vertical="center"/>
      <protection/>
    </xf>
    <xf numFmtId="182" fontId="9" fillId="0" borderId="0" xfId="0" applyNumberFormat="1" applyFont="1" applyAlignment="1" applyProtection="1">
      <alignment horizontal="left" vertical="center"/>
      <protection/>
    </xf>
    <xf numFmtId="0" fontId="9" fillId="0" borderId="0" xfId="44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vertical="center"/>
      <protection/>
    </xf>
    <xf numFmtId="182" fontId="3" fillId="0" borderId="0" xfId="0" applyNumberFormat="1" applyFont="1" applyAlignment="1" applyProtection="1">
      <alignment horizontal="left" vertical="center"/>
      <protection/>
    </xf>
    <xf numFmtId="0" fontId="3" fillId="0" borderId="0" xfId="44" applyFont="1" applyFill="1" applyAlignment="1" applyProtection="1">
      <alignment horizontal="right" vertical="center"/>
      <protection/>
    </xf>
    <xf numFmtId="2" fontId="11" fillId="4" borderId="0" xfId="0" applyNumberFormat="1" applyFont="1" applyFill="1" applyAlignment="1" applyProtection="1">
      <alignment horizontal="center" vertical="center"/>
      <protection/>
    </xf>
    <xf numFmtId="0" fontId="8" fillId="4" borderId="0" xfId="0" applyNumberFormat="1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11" fillId="4" borderId="0" xfId="0" applyNumberFormat="1" applyFont="1" applyFill="1" applyAlignment="1" applyProtection="1">
      <alignment horizontal="right" vertical="center"/>
      <protection/>
    </xf>
    <xf numFmtId="0" fontId="11" fillId="0" borderId="0" xfId="44" applyFont="1" applyFill="1" applyAlignment="1" applyProtection="1">
      <alignment horizontal="right"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" borderId="19" xfId="0" applyNumberFormat="1" applyFont="1" applyFill="1" applyBorder="1" applyAlignment="1" applyProtection="1">
      <alignment vertical="center"/>
      <protection locked="0"/>
    </xf>
    <xf numFmtId="0" fontId="2" fillId="3" borderId="39" xfId="0" applyNumberFormat="1" applyFont="1" applyFill="1" applyBorder="1" applyAlignment="1" applyProtection="1">
      <alignment vertical="center"/>
      <protection locked="0"/>
    </xf>
    <xf numFmtId="0" fontId="2" fillId="3" borderId="40" xfId="0" applyNumberFormat="1" applyFont="1" applyFill="1" applyBorder="1" applyAlignment="1" applyProtection="1">
      <alignment vertical="center"/>
      <protection locked="0"/>
    </xf>
    <xf numFmtId="181" fontId="2" fillId="0" borderId="10" xfId="0" applyNumberFormat="1" applyFont="1" applyBorder="1" applyAlignment="1" applyProtection="1">
      <alignment horizontal="left" vertical="center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0" fontId="3" fillId="2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" fillId="25" borderId="0" xfId="0" applyFont="1" applyFill="1" applyBorder="1" applyAlignment="1" applyProtection="1">
      <alignment vertical="center"/>
      <protection/>
    </xf>
    <xf numFmtId="2" fontId="2" fillId="24" borderId="10" xfId="0" applyNumberFormat="1" applyFont="1" applyFill="1" applyBorder="1" applyAlignment="1" applyProtection="1">
      <alignment vertical="center"/>
      <protection locked="0"/>
    </xf>
    <xf numFmtId="181" fontId="3" fillId="0" borderId="0" xfId="0" applyNumberFormat="1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/>
      <protection/>
    </xf>
    <xf numFmtId="0" fontId="4" fillId="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10" fillId="4" borderId="31" xfId="0" applyNumberFormat="1" applyFont="1" applyFill="1" applyBorder="1" applyAlignment="1" applyProtection="1">
      <alignment vertical="center"/>
      <protection/>
    </xf>
    <xf numFmtId="0" fontId="3" fillId="4" borderId="31" xfId="0" applyNumberFormat="1" applyFont="1" applyFill="1" applyBorder="1" applyAlignment="1" applyProtection="1">
      <alignment vertical="center"/>
      <protection/>
    </xf>
    <xf numFmtId="0" fontId="2" fillId="3" borderId="29" xfId="0" applyNumberFormat="1" applyFont="1" applyFill="1" applyBorder="1" applyAlignment="1" applyProtection="1">
      <alignment vertical="center"/>
      <protection locked="0"/>
    </xf>
    <xf numFmtId="0" fontId="2" fillId="3" borderId="43" xfId="0" applyNumberFormat="1" applyFont="1" applyFill="1" applyBorder="1" applyAlignment="1" applyProtection="1">
      <alignment vertical="center"/>
      <protection locked="0"/>
    </xf>
    <xf numFmtId="0" fontId="6" fillId="23" borderId="0" xfId="0" applyNumberFormat="1" applyFont="1" applyFill="1" applyAlignment="1">
      <alignment vertical="center"/>
    </xf>
    <xf numFmtId="0" fontId="6" fillId="20" borderId="0" xfId="0" applyNumberFormat="1" applyFont="1" applyFill="1" applyAlignment="1">
      <alignment vertical="center"/>
    </xf>
    <xf numFmtId="0" fontId="6" fillId="23" borderId="0" xfId="0" applyNumberFormat="1" applyFont="1" applyFill="1" applyAlignment="1" applyProtection="1">
      <alignment vertical="center"/>
      <protection/>
    </xf>
    <xf numFmtId="0" fontId="6" fillId="20" borderId="0" xfId="0" applyNumberFormat="1" applyFont="1" applyFill="1" applyAlignment="1" applyProtection="1">
      <alignment vertical="center"/>
      <protection/>
    </xf>
    <xf numFmtId="0" fontId="7" fillId="0" borderId="44" xfId="0" applyNumberFormat="1" applyFont="1" applyBorder="1" applyAlignment="1" applyProtection="1">
      <alignment horizontal="right" vertical="center"/>
      <protection locked="0"/>
    </xf>
    <xf numFmtId="0" fontId="3" fillId="0" borderId="19" xfId="0" applyNumberFormat="1" applyFont="1" applyBorder="1" applyAlignment="1">
      <alignment horizontal="center" vertical="center" wrapText="1"/>
    </xf>
    <xf numFmtId="0" fontId="2" fillId="20" borderId="19" xfId="0" applyNumberFormat="1" applyFont="1" applyFill="1" applyBorder="1" applyAlignment="1" applyProtection="1">
      <alignment vertical="center"/>
      <protection locked="0"/>
    </xf>
    <xf numFmtId="0" fontId="6" fillId="0" borderId="33" xfId="0" applyNumberFormat="1" applyFont="1" applyBorder="1" applyAlignment="1">
      <alignment horizontal="right" vertical="center"/>
    </xf>
    <xf numFmtId="0" fontId="7" fillId="0" borderId="45" xfId="0" applyNumberFormat="1" applyFont="1" applyBorder="1" applyAlignment="1" applyProtection="1">
      <alignment horizontal="right" vertical="center"/>
      <protection locked="0"/>
    </xf>
    <xf numFmtId="0" fontId="6" fillId="0" borderId="30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 applyProtection="1">
      <alignment vertical="center"/>
      <protection locked="0"/>
    </xf>
    <xf numFmtId="178" fontId="2" fillId="0" borderId="29" xfId="0" applyNumberFormat="1" applyFont="1" applyBorder="1" applyAlignment="1" applyProtection="1">
      <alignment vertical="center"/>
      <protection locked="0"/>
    </xf>
    <xf numFmtId="178" fontId="2" fillId="0" borderId="46" xfId="0" applyNumberFormat="1" applyFont="1" applyBorder="1" applyAlignment="1" applyProtection="1">
      <alignment vertical="center"/>
      <protection locked="0"/>
    </xf>
    <xf numFmtId="0" fontId="2" fillId="0" borderId="31" xfId="0" applyNumberFormat="1" applyFont="1" applyBorder="1" applyAlignment="1">
      <alignment vertical="center"/>
    </xf>
    <xf numFmtId="0" fontId="7" fillId="0" borderId="44" xfId="0" applyNumberFormat="1" applyFont="1" applyBorder="1" applyAlignment="1" applyProtection="1">
      <alignment horizontal="right" vertical="center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 applyProtection="1">
      <alignment horizontal="right" vertical="center"/>
      <protection/>
    </xf>
    <xf numFmtId="0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46" xfId="0" applyNumberFormat="1" applyFont="1" applyBorder="1" applyAlignment="1" applyProtection="1">
      <alignment horizontal="center" vertical="center" wrapText="1"/>
      <protection/>
    </xf>
    <xf numFmtId="0" fontId="2" fillId="25" borderId="47" xfId="0" applyNumberFormat="1" applyFont="1" applyFill="1" applyBorder="1" applyAlignment="1" applyProtection="1">
      <alignment vertical="center"/>
      <protection locked="0"/>
    </xf>
    <xf numFmtId="0" fontId="2" fillId="25" borderId="29" xfId="0" applyNumberFormat="1" applyFont="1" applyFill="1" applyBorder="1" applyAlignment="1" applyProtection="1">
      <alignment vertical="center"/>
      <protection locked="0"/>
    </xf>
    <xf numFmtId="178" fontId="2" fillId="25" borderId="29" xfId="0" applyNumberFormat="1" applyFont="1" applyFill="1" applyBorder="1" applyAlignment="1" applyProtection="1">
      <alignment vertical="center"/>
      <protection locked="0"/>
    </xf>
    <xf numFmtId="0" fontId="2" fillId="25" borderId="48" xfId="0" applyNumberFormat="1" applyFont="1" applyFill="1" applyBorder="1" applyAlignment="1" applyProtection="1">
      <alignment vertical="center"/>
      <protection locked="0"/>
    </xf>
    <xf numFmtId="0" fontId="2" fillId="25" borderId="43" xfId="0" applyNumberFormat="1" applyFont="1" applyFill="1" applyBorder="1" applyAlignment="1" applyProtection="1">
      <alignment vertical="center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 applyProtection="1">
      <alignment horizontal="center" vertical="center" wrapText="1"/>
      <protection/>
    </xf>
    <xf numFmtId="0" fontId="3" fillId="25" borderId="47" xfId="0" applyNumberFormat="1" applyFont="1" applyFill="1" applyBorder="1" applyAlignment="1" applyProtection="1">
      <alignment vertical="center"/>
      <protection locked="0"/>
    </xf>
    <xf numFmtId="178" fontId="3" fillId="25" borderId="29" xfId="0" applyNumberFormat="1" applyFont="1" applyFill="1" applyBorder="1" applyAlignment="1" applyProtection="1">
      <alignment vertical="center"/>
      <protection locked="0"/>
    </xf>
    <xf numFmtId="178" fontId="2" fillId="25" borderId="29" xfId="0" applyNumberFormat="1" applyFont="1" applyFill="1" applyBorder="1" applyAlignment="1" applyProtection="1">
      <alignment horizontal="left" vertical="center"/>
      <protection locked="0"/>
    </xf>
    <xf numFmtId="178" fontId="2" fillId="25" borderId="43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4" borderId="10" xfId="0" applyNumberFormat="1" applyFont="1" applyFill="1" applyBorder="1" applyAlignment="1" applyProtection="1">
      <alignment vertical="center"/>
      <protection/>
    </xf>
    <xf numFmtId="17" fontId="2" fillId="24" borderId="16" xfId="0" applyNumberFormat="1" applyFont="1" applyFill="1" applyBorder="1" applyAlignment="1" applyProtection="1">
      <alignment vertical="center"/>
      <protection locked="0"/>
    </xf>
    <xf numFmtId="181" fontId="8" fillId="24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24" borderId="16" xfId="0" applyNumberFormat="1" applyFont="1" applyFill="1" applyBorder="1" applyAlignment="1" applyProtection="1">
      <alignment vertical="center"/>
      <protection locked="0"/>
    </xf>
    <xf numFmtId="0" fontId="2" fillId="25" borderId="29" xfId="0" applyFont="1" applyFill="1" applyBorder="1" applyAlignment="1" applyProtection="1">
      <alignment vertical="center"/>
      <protection locked="0"/>
    </xf>
    <xf numFmtId="0" fontId="2" fillId="24" borderId="47" xfId="0" applyNumberFormat="1" applyFont="1" applyFill="1" applyBorder="1" applyAlignment="1" applyProtection="1">
      <alignment vertical="center"/>
      <protection locked="0"/>
    </xf>
    <xf numFmtId="0" fontId="2" fillId="24" borderId="29" xfId="0" applyFont="1" applyFill="1" applyBorder="1" applyAlignment="1" applyProtection="1">
      <alignment vertical="center"/>
      <protection locked="0"/>
    </xf>
    <xf numFmtId="0" fontId="2" fillId="25" borderId="43" xfId="0" applyFont="1" applyFill="1" applyBorder="1" applyAlignment="1" applyProtection="1">
      <alignment vertical="center"/>
      <protection locked="0"/>
    </xf>
    <xf numFmtId="0" fontId="10" fillId="0" borderId="30" xfId="0" applyNumberFormat="1" applyFont="1" applyBorder="1" applyAlignment="1" applyProtection="1">
      <alignment vertical="center"/>
      <protection/>
    </xf>
    <xf numFmtId="0" fontId="3" fillId="0" borderId="30" xfId="0" applyNumberFormat="1" applyFont="1" applyBorder="1" applyAlignment="1" applyProtection="1">
      <alignment vertical="center"/>
      <protection/>
    </xf>
    <xf numFmtId="180" fontId="5" fillId="0" borderId="32" xfId="0" applyNumberFormat="1" applyFont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vertical="center"/>
      <protection locked="0"/>
    </xf>
    <xf numFmtId="0" fontId="3" fillId="0" borderId="50" xfId="0" applyNumberFormat="1" applyFont="1" applyBorder="1" applyAlignment="1" applyProtection="1">
      <alignment horizontal="center" vertical="center" wrapText="1"/>
      <protection/>
    </xf>
    <xf numFmtId="0" fontId="10" fillId="4" borderId="30" xfId="0" applyNumberFormat="1" applyFont="1" applyFill="1" applyBorder="1" applyAlignment="1" applyProtection="1">
      <alignment vertical="center"/>
      <protection/>
    </xf>
    <xf numFmtId="0" fontId="37" fillId="4" borderId="30" xfId="0" applyNumberFormat="1" applyFont="1" applyFill="1" applyBorder="1" applyAlignment="1" applyProtection="1">
      <alignment vertical="center"/>
      <protection/>
    </xf>
    <xf numFmtId="0" fontId="37" fillId="4" borderId="0" xfId="0" applyNumberFormat="1" applyFont="1" applyFill="1" applyBorder="1" applyAlignment="1" applyProtection="1">
      <alignment vertical="center"/>
      <protection/>
    </xf>
    <xf numFmtId="14" fontId="2" fillId="24" borderId="10" xfId="0" applyNumberFormat="1" applyFont="1" applyFill="1" applyBorder="1" applyAlignment="1" applyProtection="1">
      <alignment vertical="center"/>
      <protection/>
    </xf>
    <xf numFmtId="181" fontId="8" fillId="24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8" fillId="4" borderId="3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9" fillId="4" borderId="0" xfId="0" applyNumberFormat="1" applyFont="1" applyFill="1" applyAlignment="1" applyProtection="1">
      <alignment horizontal="right" vertical="center"/>
      <protection/>
    </xf>
    <xf numFmtId="185" fontId="2" fillId="0" borderId="0" xfId="0" applyNumberFormat="1" applyFont="1" applyAlignment="1" applyProtection="1">
      <alignment horizontal="center" vertical="center"/>
      <protection/>
    </xf>
    <xf numFmtId="185" fontId="2" fillId="0" borderId="0" xfId="0" applyNumberFormat="1" applyFont="1" applyAlignment="1" applyProtection="1">
      <alignment vertical="center"/>
      <protection/>
    </xf>
    <xf numFmtId="185" fontId="5" fillId="0" borderId="0" xfId="0" applyNumberFormat="1" applyFont="1" applyAlignment="1" applyProtection="1">
      <alignment horizontal="center" vertical="center"/>
      <protection/>
    </xf>
    <xf numFmtId="185" fontId="4" fillId="0" borderId="0" xfId="0" applyNumberFormat="1" applyFont="1" applyAlignment="1" applyProtection="1">
      <alignment horizontal="center" vertical="center"/>
      <protection/>
    </xf>
    <xf numFmtId="185" fontId="2" fillId="24" borderId="0" xfId="0" applyNumberFormat="1" applyFont="1" applyFill="1" applyAlignment="1" applyProtection="1">
      <alignment vertical="center"/>
      <protection/>
    </xf>
    <xf numFmtId="185" fontId="2" fillId="24" borderId="10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17" fontId="2" fillId="0" borderId="10" xfId="0" applyNumberFormat="1" applyFont="1" applyBorder="1" applyAlignment="1" applyProtection="1">
      <alignment vertical="center"/>
      <protection locked="0"/>
    </xf>
    <xf numFmtId="0" fontId="2" fillId="0" borderId="29" xfId="0" applyNumberFormat="1" applyFont="1" applyFill="1" applyBorder="1" applyAlignment="1" applyProtection="1">
      <alignment vertical="center"/>
      <protection locked="0"/>
    </xf>
    <xf numFmtId="0" fontId="2" fillId="17" borderId="0" xfId="0" applyFont="1" applyFill="1" applyAlignment="1" applyProtection="1">
      <alignment vertical="center"/>
      <protection/>
    </xf>
    <xf numFmtId="0" fontId="2" fillId="24" borderId="29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Fill="1" applyBorder="1" applyAlignment="1" applyProtection="1">
      <alignment horizontal="left" vertical="center"/>
      <protection locked="0"/>
    </xf>
    <xf numFmtId="2" fontId="2" fillId="0" borderId="15" xfId="0" applyNumberFormat="1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20" borderId="51" xfId="0" applyNumberFormat="1" applyFont="1" applyFill="1" applyBorder="1" applyAlignment="1" applyProtection="1">
      <alignment vertical="center"/>
      <protection locked="0"/>
    </xf>
    <xf numFmtId="0" fontId="2" fillId="20" borderId="46" xfId="0" applyNumberFormat="1" applyFont="1" applyFill="1" applyBorder="1" applyAlignment="1" applyProtection="1">
      <alignment vertical="center"/>
      <protection locked="0"/>
    </xf>
    <xf numFmtId="0" fontId="2" fillId="6" borderId="51" xfId="0" applyNumberFormat="1" applyFont="1" applyFill="1" applyBorder="1" applyAlignment="1" applyProtection="1">
      <alignment vertical="center"/>
      <protection locked="0"/>
    </xf>
    <xf numFmtId="0" fontId="2" fillId="4" borderId="51" xfId="0" applyNumberFormat="1" applyFont="1" applyFill="1" applyBorder="1" applyAlignment="1" applyProtection="1">
      <alignment vertical="center"/>
      <protection locked="0"/>
    </xf>
    <xf numFmtId="0" fontId="2" fillId="4" borderId="46" xfId="0" applyNumberFormat="1" applyFont="1" applyFill="1" applyBorder="1" applyAlignment="1" applyProtection="1">
      <alignment vertical="center"/>
      <protection locked="0"/>
    </xf>
    <xf numFmtId="0" fontId="2" fillId="25" borderId="15" xfId="0" applyNumberFormat="1" applyFont="1" applyFill="1" applyBorder="1" applyAlignment="1" applyProtection="1">
      <alignment vertical="center"/>
      <protection locked="0"/>
    </xf>
    <xf numFmtId="0" fontId="2" fillId="24" borderId="46" xfId="0" applyNumberFormat="1" applyFont="1" applyFill="1" applyBorder="1" applyAlignment="1" applyProtection="1">
      <alignment vertical="center"/>
      <protection locked="0"/>
    </xf>
    <xf numFmtId="0" fontId="2" fillId="6" borderId="10" xfId="0" applyNumberFormat="1" applyFont="1" applyFill="1" applyBorder="1" applyAlignment="1" applyProtection="1">
      <alignment vertical="center"/>
      <protection locked="0"/>
    </xf>
    <xf numFmtId="185" fontId="2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26" borderId="10" xfId="0" applyNumberFormat="1" applyFont="1" applyFill="1" applyBorder="1" applyAlignment="1" applyProtection="1">
      <alignment horizontal="right" vertical="center"/>
      <protection/>
    </xf>
    <xf numFmtId="0" fontId="6" fillId="27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Alignment="1" applyProtection="1">
      <alignment vertical="center"/>
      <protection/>
    </xf>
    <xf numFmtId="185" fontId="9" fillId="0" borderId="0" xfId="0" applyNumberFormat="1" applyFont="1" applyAlignment="1" applyProtection="1">
      <alignment vertical="center"/>
      <protection/>
    </xf>
    <xf numFmtId="185" fontId="10" fillId="0" borderId="0" xfId="0" applyNumberFormat="1" applyFont="1" applyAlignment="1" applyProtection="1">
      <alignment vertical="center"/>
      <protection/>
    </xf>
    <xf numFmtId="185" fontId="3" fillId="0" borderId="0" xfId="0" applyNumberFormat="1" applyFont="1" applyAlignment="1" applyProtection="1">
      <alignment vertical="center"/>
      <protection/>
    </xf>
    <xf numFmtId="0" fontId="2" fillId="20" borderId="0" xfId="0" applyNumberFormat="1" applyFont="1" applyFill="1" applyAlignment="1" applyProtection="1">
      <alignment vertical="center"/>
      <protection/>
    </xf>
    <xf numFmtId="0" fontId="2" fillId="6" borderId="18" xfId="0" applyNumberFormat="1" applyFont="1" applyFill="1" applyBorder="1" applyAlignment="1" applyProtection="1">
      <alignment vertical="center"/>
      <protection locked="0"/>
    </xf>
    <xf numFmtId="0" fontId="2" fillId="3" borderId="51" xfId="0" applyNumberFormat="1" applyFont="1" applyFill="1" applyBorder="1" applyAlignment="1" applyProtection="1">
      <alignment vertical="center"/>
      <protection locked="0"/>
    </xf>
    <xf numFmtId="0" fontId="2" fillId="3" borderId="18" xfId="0" applyNumberFormat="1" applyFont="1" applyFill="1" applyBorder="1" applyAlignment="1" applyProtection="1">
      <alignment vertical="center"/>
      <protection locked="0"/>
    </xf>
    <xf numFmtId="0" fontId="2" fillId="3" borderId="10" xfId="0" applyNumberFormat="1" applyFont="1" applyFill="1" applyBorder="1" applyAlignment="1" applyProtection="1">
      <alignment vertical="center"/>
      <protection locked="0"/>
    </xf>
    <xf numFmtId="0" fontId="2" fillId="20" borderId="18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25" borderId="22" xfId="0" applyNumberFormat="1" applyFont="1" applyFill="1" applyBorder="1" applyAlignment="1" applyProtection="1">
      <alignment vertical="center"/>
      <protection locked="0"/>
    </xf>
    <xf numFmtId="0" fontId="2" fillId="0" borderId="47" xfId="0" applyNumberFormat="1" applyFont="1" applyFill="1" applyBorder="1" applyAlignment="1" applyProtection="1">
      <alignment vertical="center"/>
      <protection locked="0"/>
    </xf>
    <xf numFmtId="0" fontId="2" fillId="25" borderId="52" xfId="0" applyNumberFormat="1" applyFont="1" applyFill="1" applyBorder="1" applyAlignment="1" applyProtection="1">
      <alignment vertical="center"/>
      <protection locked="0"/>
    </xf>
    <xf numFmtId="0" fontId="2" fillId="25" borderId="46" xfId="0" applyNumberFormat="1" applyFont="1" applyFill="1" applyBorder="1" applyAlignment="1" applyProtection="1">
      <alignment vertical="center"/>
      <protection locked="0"/>
    </xf>
    <xf numFmtId="0" fontId="2" fillId="25" borderId="28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5" borderId="0" xfId="0" applyNumberFormat="1" applyFont="1" applyFill="1" applyBorder="1" applyAlignment="1" applyProtection="1">
      <alignment vertical="center"/>
      <protection locked="0"/>
    </xf>
    <xf numFmtId="181" fontId="2" fillId="0" borderId="10" xfId="0" applyNumberFormat="1" applyFont="1" applyFill="1" applyBorder="1" applyAlignment="1" applyProtection="1">
      <alignment horizontal="left" vertical="center"/>
      <protection locked="0"/>
    </xf>
    <xf numFmtId="2" fontId="8" fillId="0" borderId="10" xfId="0" applyNumberFormat="1" applyFont="1" applyFill="1" applyBorder="1" applyAlignment="1" applyProtection="1">
      <alignment vertical="center"/>
      <protection locked="0"/>
    </xf>
    <xf numFmtId="17" fontId="2" fillId="0" borderId="10" xfId="0" applyNumberFormat="1" applyFont="1" applyFill="1" applyBorder="1" applyAlignment="1" applyProtection="1">
      <alignment vertical="center"/>
      <protection locked="0"/>
    </xf>
    <xf numFmtId="0" fontId="6" fillId="24" borderId="31" xfId="0" applyNumberFormat="1" applyFont="1" applyFill="1" applyBorder="1" applyAlignment="1" applyProtection="1">
      <alignment horizontal="right" vertical="center"/>
      <protection/>
    </xf>
    <xf numFmtId="0" fontId="6" fillId="6" borderId="0" xfId="0" applyNumberFormat="1" applyFont="1" applyFill="1" applyAlignment="1" applyProtection="1">
      <alignment vertical="center"/>
      <protection/>
    </xf>
    <xf numFmtId="0" fontId="2" fillId="24" borderId="19" xfId="0" applyNumberFormat="1" applyFont="1" applyFill="1" applyBorder="1" applyAlignment="1" applyProtection="1">
      <alignment vertical="center"/>
      <protection locked="0"/>
    </xf>
    <xf numFmtId="0" fontId="2" fillId="25" borderId="53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25" borderId="0" xfId="0" applyNumberFormat="1" applyFont="1" applyFill="1" applyAlignment="1" applyProtection="1">
      <alignment vertical="center"/>
      <protection/>
    </xf>
    <xf numFmtId="180" fontId="10" fillId="0" borderId="33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180" fontId="4" fillId="0" borderId="35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2" fillId="25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9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/>
    </xf>
    <xf numFmtId="0" fontId="2" fillId="7" borderId="19" xfId="0" applyNumberFormat="1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7" borderId="15" xfId="0" applyNumberFormat="1" applyFont="1" applyFill="1" applyBorder="1" applyAlignment="1" applyProtection="1">
      <alignment vertical="center"/>
      <protection/>
    </xf>
    <xf numFmtId="0" fontId="2" fillId="3" borderId="46" xfId="0" applyNumberFormat="1" applyFont="1" applyFill="1" applyBorder="1" applyAlignment="1" applyProtection="1">
      <alignment vertical="center"/>
      <protection locked="0"/>
    </xf>
    <xf numFmtId="0" fontId="2" fillId="3" borderId="54" xfId="0" applyNumberFormat="1" applyFont="1" applyFill="1" applyBorder="1" applyAlignment="1" applyProtection="1">
      <alignment vertical="center"/>
      <protection locked="0"/>
    </xf>
    <xf numFmtId="0" fontId="2" fillId="3" borderId="55" xfId="0" applyNumberFormat="1" applyFont="1" applyFill="1" applyBorder="1" applyAlignment="1" applyProtection="1">
      <alignment vertical="center"/>
      <protection locked="0"/>
    </xf>
    <xf numFmtId="0" fontId="5" fillId="4" borderId="30" xfId="0" applyNumberFormat="1" applyFont="1" applyFill="1" applyBorder="1" applyAlignment="1" applyProtection="1">
      <alignment vertical="center"/>
      <protection/>
    </xf>
    <xf numFmtId="0" fontId="2" fillId="20" borderId="29" xfId="0" applyNumberFormat="1" applyFont="1" applyFill="1" applyBorder="1" applyAlignment="1" applyProtection="1" quotePrefix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3" borderId="56" xfId="0" applyNumberFormat="1" applyFont="1" applyFill="1" applyBorder="1" applyAlignment="1" applyProtection="1">
      <alignment vertical="center"/>
      <protection locked="0"/>
    </xf>
    <xf numFmtId="0" fontId="2" fillId="3" borderId="57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181" fontId="8" fillId="0" borderId="10" xfId="0" applyNumberFormat="1" applyFont="1" applyFill="1" applyBorder="1" applyAlignment="1" applyProtection="1">
      <alignment horizontal="left"/>
      <protection locked="0"/>
    </xf>
    <xf numFmtId="17" fontId="2" fillId="0" borderId="16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17" fontId="2" fillId="0" borderId="10" xfId="0" applyNumberFormat="1" applyFont="1" applyBorder="1" applyAlignment="1" applyProtection="1">
      <alignment/>
      <protection locked="0"/>
    </xf>
    <xf numFmtId="181" fontId="8" fillId="0" borderId="16" xfId="0" applyNumberFormat="1" applyFont="1" applyFill="1" applyBorder="1" applyAlignment="1" applyProtection="1">
      <alignment horizontal="left"/>
      <protection locked="0"/>
    </xf>
    <xf numFmtId="0" fontId="2" fillId="7" borderId="10" xfId="0" applyNumberFormat="1" applyFont="1" applyFill="1" applyBorder="1" applyAlignment="1" applyProtection="1">
      <alignment/>
      <protection/>
    </xf>
    <xf numFmtId="0" fontId="2" fillId="20" borderId="28" xfId="0" applyNumberFormat="1" applyFont="1" applyFill="1" applyBorder="1" applyAlignment="1" applyProtection="1">
      <alignment/>
      <protection locked="0"/>
    </xf>
    <xf numFmtId="0" fontId="2" fillId="20" borderId="29" xfId="0" applyNumberFormat="1" applyFont="1" applyFill="1" applyBorder="1" applyAlignment="1" applyProtection="1">
      <alignment/>
      <protection locked="0"/>
    </xf>
    <xf numFmtId="0" fontId="2" fillId="6" borderId="28" xfId="0" applyNumberFormat="1" applyFont="1" applyFill="1" applyBorder="1" applyAlignment="1" applyProtection="1">
      <alignment/>
      <protection locked="0"/>
    </xf>
    <xf numFmtId="0" fontId="2" fillId="6" borderId="19" xfId="0" applyNumberFormat="1" applyFont="1" applyFill="1" applyBorder="1" applyAlignment="1" applyProtection="1">
      <alignment/>
      <protection locked="0"/>
    </xf>
    <xf numFmtId="0" fontId="2" fillId="20" borderId="28" xfId="0" applyNumberFormat="1" applyFont="1" applyFill="1" applyBorder="1" applyAlignment="1" applyProtection="1">
      <alignment horizontal="right"/>
      <protection locked="0"/>
    </xf>
    <xf numFmtId="0" fontId="2" fillId="4" borderId="28" xfId="0" applyNumberFormat="1" applyFont="1" applyFill="1" applyBorder="1" applyAlignment="1" applyProtection="1">
      <alignment/>
      <protection locked="0"/>
    </xf>
    <xf numFmtId="0" fontId="2" fillId="4" borderId="29" xfId="0" applyNumberFormat="1" applyFont="1" applyFill="1" applyBorder="1" applyAlignment="1" applyProtection="1">
      <alignment/>
      <protection locked="0"/>
    </xf>
    <xf numFmtId="0" fontId="2" fillId="25" borderId="19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/>
      <protection locked="0"/>
    </xf>
    <xf numFmtId="0" fontId="2" fillId="25" borderId="16" xfId="0" applyNumberFormat="1" applyFont="1" applyFill="1" applyBorder="1" applyAlignment="1" applyProtection="1">
      <alignment/>
      <protection locked="0"/>
    </xf>
    <xf numFmtId="0" fontId="2" fillId="25" borderId="10" xfId="0" applyNumberFormat="1" applyFont="1" applyFill="1" applyBorder="1" applyAlignment="1" applyProtection="1">
      <alignment/>
      <protection locked="0"/>
    </xf>
    <xf numFmtId="0" fontId="2" fillId="25" borderId="29" xfId="0" applyNumberFormat="1" applyFont="1" applyFill="1" applyBorder="1" applyAlignment="1" applyProtection="1">
      <alignment/>
      <protection locked="0"/>
    </xf>
    <xf numFmtId="0" fontId="2" fillId="24" borderId="29" xfId="0" applyNumberFormat="1" applyFont="1" applyFill="1" applyBorder="1" applyAlignment="1" applyProtection="1">
      <alignment/>
      <protection locked="0"/>
    </xf>
    <xf numFmtId="0" fontId="2" fillId="24" borderId="10" xfId="0" applyNumberFormat="1" applyFont="1" applyFill="1" applyBorder="1" applyAlignment="1" applyProtection="1">
      <alignment/>
      <protection locked="0"/>
    </xf>
    <xf numFmtId="178" fontId="2" fillId="25" borderId="10" xfId="0" applyNumberFormat="1" applyFont="1" applyFill="1" applyBorder="1" applyAlignment="1" applyProtection="1">
      <alignment/>
      <protection locked="0"/>
    </xf>
    <xf numFmtId="0" fontId="2" fillId="24" borderId="10" xfId="0" applyNumberFormat="1" applyFont="1" applyFill="1" applyBorder="1" applyAlignment="1" applyProtection="1">
      <alignment/>
      <protection/>
    </xf>
    <xf numFmtId="178" fontId="2" fillId="0" borderId="0" xfId="0" applyNumberFormat="1" applyFont="1" applyAlignment="1" applyProtection="1">
      <alignment vertical="center"/>
      <protection/>
    </xf>
    <xf numFmtId="178" fontId="7" fillId="0" borderId="25" xfId="0" applyNumberFormat="1" applyFont="1" applyBorder="1" applyAlignment="1" applyProtection="1">
      <alignment horizontal="right" vertical="center"/>
      <protection/>
    </xf>
    <xf numFmtId="178" fontId="4" fillId="0" borderId="26" xfId="0" applyNumberFormat="1" applyFont="1" applyBorder="1" applyAlignment="1" applyProtection="1">
      <alignment horizontal="center" vertical="center"/>
      <protection/>
    </xf>
    <xf numFmtId="178" fontId="2" fillId="0" borderId="27" xfId="0" applyNumberFormat="1" applyFont="1" applyBorder="1" applyAlignment="1" applyProtection="1">
      <alignment horizontal="center" vertical="center"/>
      <protection/>
    </xf>
    <xf numFmtId="178" fontId="4" fillId="0" borderId="15" xfId="0" applyNumberFormat="1" applyFont="1" applyBorder="1" applyAlignment="1" applyProtection="1">
      <alignment horizontal="center" vertical="center" wrapText="1"/>
      <protection/>
    </xf>
    <xf numFmtId="178" fontId="2" fillId="25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6" fillId="0" borderId="31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Alignment="1" applyProtection="1">
      <alignment vertical="center"/>
      <protection/>
    </xf>
    <xf numFmtId="178" fontId="7" fillId="0" borderId="31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horizontal="right" vertical="center"/>
      <protection/>
    </xf>
    <xf numFmtId="178" fontId="2" fillId="0" borderId="30" xfId="0" applyNumberFormat="1" applyFont="1" applyBorder="1" applyAlignment="1" applyProtection="1">
      <alignment vertical="center"/>
      <protection/>
    </xf>
    <xf numFmtId="178" fontId="2" fillId="0" borderId="37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178" fontId="9" fillId="0" borderId="0" xfId="0" applyNumberFormat="1" applyFont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right" vertical="center"/>
      <protection/>
    </xf>
    <xf numFmtId="178" fontId="2" fillId="25" borderId="46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Alignment="1">
      <alignment/>
    </xf>
    <xf numFmtId="17" fontId="4" fillId="0" borderId="0" xfId="0" applyNumberFormat="1" applyFont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>
      <alignment vertical="center"/>
    </xf>
    <xf numFmtId="181" fontId="2" fillId="24" borderId="10" xfId="0" applyNumberFormat="1" applyFont="1" applyFill="1" applyBorder="1" applyAlignment="1" applyProtection="1">
      <alignment horizontal="left" vertical="center"/>
      <protection locked="0"/>
    </xf>
    <xf numFmtId="0" fontId="2" fillId="20" borderId="10" xfId="0" applyNumberFormat="1" applyFont="1" applyFill="1" applyBorder="1" applyAlignment="1" applyProtection="1">
      <alignment horizontal="right" vertical="center"/>
      <protection locked="0"/>
    </xf>
    <xf numFmtId="17" fontId="2" fillId="24" borderId="10" xfId="0" applyNumberFormat="1" applyFont="1" applyFill="1" applyBorder="1" applyAlignment="1" applyProtection="1">
      <alignment/>
      <protection locked="0"/>
    </xf>
    <xf numFmtId="16" fontId="2" fillId="0" borderId="10" xfId="0" applyNumberFormat="1" applyFont="1" applyBorder="1" applyAlignment="1" applyProtection="1">
      <alignment vertical="center"/>
      <protection/>
    </xf>
    <xf numFmtId="181" fontId="2" fillId="0" borderId="16" xfId="0" applyNumberFormat="1" applyFont="1" applyFill="1" applyBorder="1" applyAlignment="1" applyProtection="1">
      <alignment horizontal="left" vertical="center"/>
      <protection locked="0"/>
    </xf>
    <xf numFmtId="0" fontId="2" fillId="7" borderId="0" xfId="0" applyNumberFormat="1" applyFont="1" applyFill="1" applyBorder="1" applyAlignment="1" applyProtection="1">
      <alignment vertical="center"/>
      <protection/>
    </xf>
    <xf numFmtId="0" fontId="2" fillId="17" borderId="10" xfId="0" applyNumberFormat="1" applyFont="1" applyFill="1" applyBorder="1" applyAlignment="1" applyProtection="1">
      <alignment vertical="center"/>
      <protection/>
    </xf>
    <xf numFmtId="10" fontId="25" fillId="0" borderId="10" xfId="56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184" fontId="44" fillId="28" borderId="10" xfId="0" applyNumberFormat="1" applyFon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10" fontId="25" fillId="0" borderId="10" xfId="56" applyNumberFormat="1" applyFont="1" applyBorder="1" applyAlignment="1">
      <alignment horizontal="center" vertical="center" wrapText="1"/>
    </xf>
    <xf numFmtId="184" fontId="59" fillId="28" borderId="10" xfId="0" applyNumberFormat="1" applyFont="1" applyFill="1" applyBorder="1" applyAlignment="1">
      <alignment vertical="center"/>
    </xf>
    <xf numFmtId="10" fontId="25" fillId="0" borderId="10" xfId="56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84" fontId="0" fillId="0" borderId="0" xfId="0" applyNumberFormat="1" applyAlignment="1">
      <alignment vertical="center"/>
    </xf>
    <xf numFmtId="10" fontId="44" fillId="28" borderId="10" xfId="56" applyNumberFormat="1" applyFont="1" applyFill="1" applyBorder="1" applyAlignment="1">
      <alignment horizontal="center" vertical="center"/>
    </xf>
    <xf numFmtId="10" fontId="0" fillId="0" borderId="10" xfId="56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24" borderId="10" xfId="56" applyNumberFormat="1" applyFont="1" applyFill="1" applyBorder="1" applyAlignment="1">
      <alignment horizontal="center" vertical="center"/>
    </xf>
    <xf numFmtId="10" fontId="45" fillId="28" borderId="10" xfId="5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5" borderId="1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10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vertical="center"/>
    </xf>
    <xf numFmtId="184" fontId="0" fillId="0" borderId="23" xfId="0" applyNumberFormat="1" applyFont="1" applyFill="1" applyBorder="1" applyAlignment="1">
      <alignment horizontal="right" vertical="center"/>
    </xf>
    <xf numFmtId="170" fontId="45" fillId="28" borderId="1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0" fontId="0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84" fontId="0" fillId="0" borderId="0" xfId="52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0" fontId="45" fillId="28" borderId="10" xfId="0" applyNumberFormat="1" applyFont="1" applyFill="1" applyBorder="1" applyAlignment="1">
      <alignment vertical="center"/>
    </xf>
    <xf numFmtId="10" fontId="45" fillId="28" borderId="10" xfId="0" applyNumberFormat="1" applyFont="1" applyFill="1" applyBorder="1" applyAlignment="1">
      <alignment horizontal="center" vertical="center"/>
    </xf>
    <xf numFmtId="0" fontId="3" fillId="20" borderId="0" xfId="0" applyFont="1" applyFill="1" applyBorder="1" applyAlignment="1" applyProtection="1">
      <alignment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3" borderId="28" xfId="0" applyNumberFormat="1" applyFont="1" applyFill="1" applyBorder="1" applyAlignment="1" applyProtection="1">
      <alignment vertical="center"/>
      <protection locked="0"/>
    </xf>
    <xf numFmtId="0" fontId="2" fillId="23" borderId="19" xfId="0" applyNumberFormat="1" applyFont="1" applyFill="1" applyBorder="1" applyAlignment="1" applyProtection="1">
      <alignment vertical="center"/>
      <protection locked="0"/>
    </xf>
    <xf numFmtId="0" fontId="2" fillId="3" borderId="53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Continuous"/>
    </xf>
    <xf numFmtId="0" fontId="7" fillId="0" borderId="44" xfId="0" applyNumberFormat="1" applyFont="1" applyBorder="1" applyAlignment="1">
      <alignment horizontal="centerContinuous" vertical="center" wrapText="1"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vertical="center"/>
    </xf>
    <xf numFmtId="180" fontId="5" fillId="0" borderId="33" xfId="0" applyNumberFormat="1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7" fillId="29" borderId="60" xfId="0" applyNumberFormat="1" applyFont="1" applyFill="1" applyBorder="1" applyAlignment="1">
      <alignment horizontal="centerContinuous" vertical="center"/>
    </xf>
    <xf numFmtId="0" fontId="7" fillId="29" borderId="45" xfId="0" applyNumberFormat="1" applyFont="1" applyFill="1" applyBorder="1" applyAlignment="1">
      <alignment horizontal="centerContinuous" vertical="center"/>
    </xf>
    <xf numFmtId="0" fontId="4" fillId="20" borderId="60" xfId="0" applyNumberFormat="1" applyFont="1" applyFill="1" applyBorder="1" applyAlignment="1">
      <alignment horizontal="centerContinuous"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6" borderId="44" xfId="0" applyNumberFormat="1" applyFont="1" applyFill="1" applyBorder="1" applyAlignment="1">
      <alignment horizontal="centerContinuous" vertical="center"/>
    </xf>
    <xf numFmtId="0" fontId="4" fillId="6" borderId="60" xfId="0" applyNumberFormat="1" applyFont="1" applyFill="1" applyBorder="1" applyAlignment="1">
      <alignment horizontal="centerContinuous" vertical="center"/>
    </xf>
    <xf numFmtId="0" fontId="4" fillId="6" borderId="58" xfId="0" applyNumberFormat="1" applyFont="1" applyFill="1" applyBorder="1" applyAlignment="1">
      <alignment horizontal="centerContinuous" vertical="center"/>
    </xf>
    <xf numFmtId="0" fontId="4" fillId="6" borderId="0" xfId="0" applyNumberFormat="1" applyFont="1" applyFill="1" applyBorder="1" applyAlignment="1">
      <alignment horizontal="centerContinuous" vertical="center"/>
    </xf>
    <xf numFmtId="0" fontId="4" fillId="6" borderId="56" xfId="0" applyNumberFormat="1" applyFont="1" applyFill="1" applyBorder="1" applyAlignment="1">
      <alignment horizontal="centerContinuous" vertical="center"/>
    </xf>
    <xf numFmtId="0" fontId="4" fillId="6" borderId="14" xfId="0" applyNumberFormat="1" applyFont="1" applyFill="1" applyBorder="1" applyAlignment="1">
      <alignment horizontal="centerContinuous" vertical="center"/>
    </xf>
    <xf numFmtId="0" fontId="4" fillId="29" borderId="0" xfId="0" applyNumberFormat="1" applyFont="1" applyFill="1" applyBorder="1" applyAlignment="1">
      <alignment horizontal="centerContinuous" vertical="center"/>
    </xf>
    <xf numFmtId="0" fontId="4" fillId="29" borderId="59" xfId="0" applyNumberFormat="1" applyFont="1" applyFill="1" applyBorder="1" applyAlignment="1">
      <alignment horizontal="centerContinuous" vertical="center"/>
    </xf>
    <xf numFmtId="0" fontId="4" fillId="29" borderId="14" xfId="0" applyNumberFormat="1" applyFont="1" applyFill="1" applyBorder="1" applyAlignment="1">
      <alignment horizontal="centerContinuous" vertical="center"/>
    </xf>
    <xf numFmtId="0" fontId="4" fillId="29" borderId="57" xfId="0" applyNumberFormat="1" applyFont="1" applyFill="1" applyBorder="1" applyAlignment="1">
      <alignment horizontal="centerContinuous" vertical="center"/>
    </xf>
    <xf numFmtId="0" fontId="4" fillId="29" borderId="58" xfId="0" applyNumberFormat="1" applyFont="1" applyFill="1" applyBorder="1" applyAlignment="1">
      <alignment horizontal="centerContinuous" vertical="center"/>
    </xf>
    <xf numFmtId="0" fontId="4" fillId="29" borderId="56" xfId="0" applyNumberFormat="1" applyFont="1" applyFill="1" applyBorder="1" applyAlignment="1">
      <alignment horizontal="centerContinuous" vertical="center"/>
    </xf>
    <xf numFmtId="0" fontId="7" fillId="0" borderId="33" xfId="0" applyNumberFormat="1" applyFont="1" applyBorder="1" applyAlignment="1">
      <alignment horizontal="centerContinuous" vertical="center"/>
    </xf>
    <xf numFmtId="0" fontId="7" fillId="0" borderId="30" xfId="0" applyNumberFormat="1" applyFont="1" applyBorder="1" applyAlignment="1">
      <alignment horizontal="centerContinuous" vertical="center"/>
    </xf>
    <xf numFmtId="180" fontId="5" fillId="0" borderId="33" xfId="0" applyNumberFormat="1" applyFont="1" applyBorder="1" applyAlignment="1" applyProtection="1">
      <alignment horizontal="centerContinuous" vertical="center"/>
      <protection/>
    </xf>
    <xf numFmtId="0" fontId="0" fillId="0" borderId="32" xfId="0" applyBorder="1" applyAlignment="1" applyProtection="1">
      <alignment horizontal="centerContinuous" vertical="center"/>
      <protection/>
    </xf>
    <xf numFmtId="0" fontId="0" fillId="0" borderId="30" xfId="0" applyBorder="1" applyAlignment="1" applyProtection="1">
      <alignment horizontal="centerContinuous" vertical="center"/>
      <protection/>
    </xf>
    <xf numFmtId="0" fontId="7" fillId="29" borderId="60" xfId="0" applyNumberFormat="1" applyFont="1" applyFill="1" applyBorder="1" applyAlignment="1" applyProtection="1">
      <alignment horizontal="centerContinuous" vertical="center"/>
      <protection/>
    </xf>
    <xf numFmtId="0" fontId="7" fillId="29" borderId="45" xfId="0" applyNumberFormat="1" applyFont="1" applyFill="1" applyBorder="1" applyAlignment="1" applyProtection="1">
      <alignment horizontal="centerContinuous" vertical="center"/>
      <protection/>
    </xf>
    <xf numFmtId="0" fontId="4" fillId="20" borderId="60" xfId="0" applyNumberFormat="1" applyFont="1" applyFill="1" applyBorder="1" applyAlignment="1" applyProtection="1">
      <alignment horizontal="centerContinuous"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4" fillId="6" borderId="44" xfId="0" applyNumberFormat="1" applyFont="1" applyFill="1" applyBorder="1" applyAlignment="1" applyProtection="1">
      <alignment horizontal="centerContinuous" vertical="center"/>
      <protection/>
    </xf>
    <xf numFmtId="0" fontId="4" fillId="6" borderId="60" xfId="0" applyNumberFormat="1" applyFont="1" applyFill="1" applyBorder="1" applyAlignment="1" applyProtection="1">
      <alignment horizontal="centerContinuous" vertical="center"/>
      <protection/>
    </xf>
    <xf numFmtId="0" fontId="4" fillId="6" borderId="58" xfId="0" applyNumberFormat="1" applyFont="1" applyFill="1" applyBorder="1" applyAlignment="1" applyProtection="1">
      <alignment horizontal="centerContinuous" vertical="center"/>
      <protection/>
    </xf>
    <xf numFmtId="0" fontId="4" fillId="6" borderId="0" xfId="0" applyNumberFormat="1" applyFont="1" applyFill="1" applyBorder="1" applyAlignment="1" applyProtection="1">
      <alignment horizontal="centerContinuous" vertical="center"/>
      <protection/>
    </xf>
    <xf numFmtId="0" fontId="4" fillId="6" borderId="56" xfId="0" applyNumberFormat="1" applyFont="1" applyFill="1" applyBorder="1" applyAlignment="1" applyProtection="1">
      <alignment horizontal="centerContinuous" vertical="center"/>
      <protection/>
    </xf>
    <xf numFmtId="0" fontId="4" fillId="6" borderId="14" xfId="0" applyNumberFormat="1" applyFont="1" applyFill="1" applyBorder="1" applyAlignment="1" applyProtection="1">
      <alignment horizontal="centerContinuous" vertical="center"/>
      <protection/>
    </xf>
    <xf numFmtId="0" fontId="4" fillId="29" borderId="0" xfId="0" applyNumberFormat="1" applyFont="1" applyFill="1" applyBorder="1" applyAlignment="1" applyProtection="1">
      <alignment horizontal="centerContinuous" vertical="center"/>
      <protection/>
    </xf>
    <xf numFmtId="0" fontId="4" fillId="29" borderId="59" xfId="0" applyNumberFormat="1" applyFont="1" applyFill="1" applyBorder="1" applyAlignment="1" applyProtection="1">
      <alignment horizontal="centerContinuous" vertical="center"/>
      <protection/>
    </xf>
    <xf numFmtId="0" fontId="4" fillId="29" borderId="14" xfId="0" applyNumberFormat="1" applyFont="1" applyFill="1" applyBorder="1" applyAlignment="1" applyProtection="1">
      <alignment horizontal="centerContinuous" vertical="center"/>
      <protection/>
    </xf>
    <xf numFmtId="0" fontId="4" fillId="29" borderId="57" xfId="0" applyNumberFormat="1" applyFont="1" applyFill="1" applyBorder="1" applyAlignment="1" applyProtection="1">
      <alignment horizontal="centerContinuous" vertical="center"/>
      <protection/>
    </xf>
    <xf numFmtId="0" fontId="4" fillId="29" borderId="58" xfId="0" applyNumberFormat="1" applyFont="1" applyFill="1" applyBorder="1" applyAlignment="1" applyProtection="1">
      <alignment horizontal="centerContinuous" vertical="center"/>
      <protection/>
    </xf>
    <xf numFmtId="0" fontId="4" fillId="29" borderId="56" xfId="0" applyNumberFormat="1" applyFont="1" applyFill="1" applyBorder="1" applyAlignment="1" applyProtection="1">
      <alignment horizontal="centerContinuous" vertical="center"/>
      <protection/>
    </xf>
    <xf numFmtId="0" fontId="7" fillId="29" borderId="44" xfId="0" applyNumberFormat="1" applyFont="1" applyFill="1" applyBorder="1" applyAlignment="1" applyProtection="1">
      <alignment horizontal="centerContinuous" vertical="center"/>
      <protection/>
    </xf>
    <xf numFmtId="0" fontId="4" fillId="20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4" fillId="6" borderId="45" xfId="0" applyNumberFormat="1" applyFont="1" applyFill="1" applyBorder="1" applyAlignment="1" applyProtection="1">
      <alignment horizontal="centerContinuous" vertical="center"/>
      <protection/>
    </xf>
    <xf numFmtId="0" fontId="4" fillId="6" borderId="59" xfId="0" applyNumberFormat="1" applyFont="1" applyFill="1" applyBorder="1" applyAlignment="1" applyProtection="1">
      <alignment horizontal="centerContinuous" vertical="center"/>
      <protection/>
    </xf>
    <xf numFmtId="0" fontId="4" fillId="6" borderId="57" xfId="0" applyNumberFormat="1" applyFont="1" applyFill="1" applyBorder="1" applyAlignment="1" applyProtection="1">
      <alignment horizontal="centerContinuous" vertical="center"/>
      <protection/>
    </xf>
    <xf numFmtId="1" fontId="7" fillId="0" borderId="33" xfId="0" applyNumberFormat="1" applyFont="1" applyBorder="1" applyAlignment="1" applyProtection="1">
      <alignment horizontal="centerContinuous" vertical="center"/>
      <protection/>
    </xf>
    <xf numFmtId="1" fontId="7" fillId="0" borderId="30" xfId="0" applyNumberFormat="1" applyFont="1" applyBorder="1" applyAlignment="1" applyProtection="1">
      <alignment horizontal="centerContinuous" vertical="center"/>
      <protection/>
    </xf>
    <xf numFmtId="0" fontId="7" fillId="0" borderId="45" xfId="0" applyNumberFormat="1" applyFont="1" applyBorder="1" applyAlignment="1">
      <alignment horizontal="centerContinuous" vertical="center" wrapText="1"/>
    </xf>
    <xf numFmtId="0" fontId="7" fillId="0" borderId="58" xfId="0" applyNumberFormat="1" applyFont="1" applyBorder="1" applyAlignment="1">
      <alignment horizontal="centerContinuous" vertical="center" wrapText="1"/>
    </xf>
    <xf numFmtId="0" fontId="7" fillId="0" borderId="59" xfId="0" applyNumberFormat="1" applyFont="1" applyBorder="1" applyAlignment="1">
      <alignment horizontal="centerContinuous" vertical="center" wrapText="1"/>
    </xf>
    <xf numFmtId="0" fontId="7" fillId="0" borderId="56" xfId="0" applyNumberFormat="1" applyFont="1" applyBorder="1" applyAlignment="1">
      <alignment horizontal="centerContinuous" vertical="center" wrapText="1"/>
    </xf>
    <xf numFmtId="0" fontId="7" fillId="0" borderId="57" xfId="0" applyNumberFormat="1" applyFont="1" applyBorder="1" applyAlignment="1">
      <alignment horizontal="centerContinuous" vertical="center" wrapText="1"/>
    </xf>
    <xf numFmtId="183" fontId="7" fillId="0" borderId="33" xfId="0" applyNumberFormat="1" applyFont="1" applyBorder="1" applyAlignment="1" applyProtection="1">
      <alignment horizontal="centerContinuous" vertical="center"/>
      <protection/>
    </xf>
    <xf numFmtId="183" fontId="7" fillId="0" borderId="30" xfId="0" applyNumberFormat="1" applyFont="1" applyBorder="1" applyAlignment="1" applyProtection="1">
      <alignment horizontal="centerContinuous" vertical="center"/>
      <protection/>
    </xf>
    <xf numFmtId="0" fontId="26" fillId="0" borderId="10" xfId="0" applyFont="1" applyBorder="1" applyAlignment="1">
      <alignment horizontal="centerContinuous" vertical="center"/>
    </xf>
    <xf numFmtId="10" fontId="25" fillId="0" borderId="10" xfId="56" applyNumberFormat="1" applyFont="1" applyFill="1" applyBorder="1" applyAlignment="1">
      <alignment horizontal="centerContinuous" vertical="center" wrapText="1"/>
    </xf>
    <xf numFmtId="0" fontId="25" fillId="0" borderId="22" xfId="0" applyFont="1" applyBorder="1" applyAlignment="1">
      <alignment horizontal="centerContinuous" vertical="center"/>
    </xf>
    <xf numFmtId="0" fontId="25" fillId="0" borderId="24" xfId="0" applyFont="1" applyBorder="1" applyAlignment="1">
      <alignment horizontal="centerContinuous" vertical="center"/>
    </xf>
    <xf numFmtId="10" fontId="25" fillId="0" borderId="15" xfId="0" applyNumberFormat="1" applyFont="1" applyBorder="1" applyAlignment="1">
      <alignment horizontal="centerContinuous" vertical="center"/>
    </xf>
    <xf numFmtId="10" fontId="25" fillId="0" borderId="20" xfId="0" applyNumberFormat="1" applyFont="1" applyBorder="1" applyAlignment="1">
      <alignment horizontal="centerContinuous" vertical="center"/>
    </xf>
    <xf numFmtId="10" fontId="25" fillId="0" borderId="15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0" fontId="25" fillId="0" borderId="15" xfId="56" applyNumberFormat="1" applyFont="1" applyBorder="1" applyAlignment="1">
      <alignment horizontal="centerContinuous" vertical="center" wrapText="1"/>
    </xf>
    <xf numFmtId="0" fontId="0" fillId="0" borderId="20" xfId="0" applyBorder="1" applyAlignment="1">
      <alignment vertical="center" wrapText="1"/>
    </xf>
    <xf numFmtId="180" fontId="30" fillId="0" borderId="19" xfId="55" applyNumberFormat="1" applyFont="1" applyBorder="1" applyAlignment="1">
      <alignment horizontal="centerContinuous" vertical="center"/>
      <protection/>
    </xf>
    <xf numFmtId="180" fontId="31" fillId="0" borderId="16" xfId="55" applyNumberFormat="1" applyFont="1" applyBorder="1" applyAlignment="1">
      <alignment horizontal="centerContinuous" vertical="center"/>
      <protection/>
    </xf>
    <xf numFmtId="180" fontId="30" fillId="20" borderId="19" xfId="55" applyNumberFormat="1" applyFont="1" applyFill="1" applyBorder="1" applyAlignment="1">
      <alignment horizontal="centerContinuous" vertical="center" wrapText="1"/>
      <protection/>
    </xf>
    <xf numFmtId="0" fontId="0" fillId="0" borderId="38" xfId="55" applyBorder="1" applyAlignment="1">
      <alignment/>
      <protection/>
    </xf>
    <xf numFmtId="0" fontId="0" fillId="0" borderId="16" xfId="55" applyBorder="1" applyAlignment="1">
      <alignment/>
      <protection/>
    </xf>
    <xf numFmtId="0" fontId="27" fillId="0" borderId="0" xfId="55" applyFont="1" applyBorder="1" applyAlignment="1">
      <alignment horizontal="centerContinuous"/>
      <protection/>
    </xf>
    <xf numFmtId="0" fontId="25" fillId="0" borderId="10" xfId="0" applyFont="1" applyBorder="1" applyAlignment="1">
      <alignment horizontal="centerContinuous" vertical="center"/>
    </xf>
    <xf numFmtId="170" fontId="0" fillId="0" borderId="0" xfId="0" applyNumberFormat="1" applyAlignment="1">
      <alignment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COMPTABILITE 2003" xfId="52"/>
    <cellStyle name="Monétaire_COMPTABILITE 2003 2" xfId="53"/>
    <cellStyle name="Neutre" xfId="54"/>
    <cellStyle name="Normal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DEPENSES 2014/2015</a:t>
            </a:r>
          </a:p>
        </c:rich>
      </c:tx>
      <c:layout>
        <c:manualLayout>
          <c:xMode val="factor"/>
          <c:yMode val="factor"/>
          <c:x val="-0.044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8875"/>
          <c:w val="0.868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'Répartition des dépenses'!$AR$6:$AR$12</c:f>
              <c:strCache/>
            </c:strRef>
          </c:cat>
          <c:val>
            <c:numRef>
              <c:f>'Répartition des dépenses'!$AS$6:$AS$12</c:f>
              <c:numCache/>
            </c:numRef>
          </c:val>
        </c:ser>
        <c:ser>
          <c:idx val="1"/>
          <c:order val="1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'Répartition des dépenses'!$AR$6:$AR$12</c:f>
              <c:strCache/>
            </c:strRef>
          </c:cat>
          <c:val>
            <c:numRef>
              <c:f>'Répartition des dépenses'!$AT$6:$AT$12</c:f>
              <c:numCache/>
            </c:numRef>
          </c:val>
        </c:ser>
        <c:axId val="25746683"/>
        <c:axId val="30393556"/>
      </c:bar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3556"/>
        <c:crosses val="autoZero"/>
        <c:auto val="0"/>
        <c:lblOffset val="100"/>
        <c:tickLblSkip val="2"/>
        <c:noMultiLvlLbl val="0"/>
      </c:catAx>
      <c:valAx>
        <c:axId val="30393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46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363"/>
          <c:w val="0.080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675"/>
          <c:w val="0.801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'Flux de trésorerie'!$B$1</c:f>
              <c:strCache>
                <c:ptCount val="1"/>
                <c:pt idx="0">
                  <c:v>D?penses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'Flux de trésorerie'!$A$2:$A$13</c:f>
              <c:strCache/>
            </c:strRef>
          </c:cat>
          <c:val>
            <c:numRef>
              <c:f>'Flux de trésorerie'!$B$2:$B$13</c:f>
              <c:numCache/>
            </c:numRef>
          </c:val>
        </c:ser>
        <c:ser>
          <c:idx val="1"/>
          <c:order val="1"/>
          <c:tx>
            <c:strRef>
              <c:f>'Flux de trésorerie'!$C$1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'Flux de trésorerie'!$A$2:$A$13</c:f>
              <c:strCache/>
            </c:strRef>
          </c:cat>
          <c:val>
            <c:numRef>
              <c:f>'Flux de trésorerie'!$C$2:$C$13</c:f>
              <c:numCache/>
            </c:numRef>
          </c:val>
        </c:ser>
        <c:axId val="5106549"/>
        <c:axId val="45958942"/>
      </c:barChart>
      <c:catAx>
        <c:axId val="510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8942"/>
        <c:crosses val="autoZero"/>
        <c:auto val="0"/>
        <c:lblOffset val="100"/>
        <c:tickLblSkip val="3"/>
        <c:noMultiLvlLbl val="0"/>
      </c:catAx>
      <c:valAx>
        <c:axId val="45958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51"/>
          <c:w val="0.1357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</xdr:row>
      <xdr:rowOff>447675</xdr:rowOff>
    </xdr:from>
    <xdr:to>
      <xdr:col>27</xdr:col>
      <xdr:colOff>533400</xdr:colOff>
      <xdr:row>39</xdr:row>
      <xdr:rowOff>85725</xdr:rowOff>
    </xdr:to>
    <xdr:graphicFrame>
      <xdr:nvGraphicFramePr>
        <xdr:cNvPr id="1" name="Graphique 4"/>
        <xdr:cNvGraphicFramePr/>
      </xdr:nvGraphicFramePr>
      <xdr:xfrm>
        <a:off x="7200900" y="1028700"/>
        <a:ext cx="68580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7</xdr:col>
      <xdr:colOff>9525</xdr:colOff>
      <xdr:row>41</xdr:row>
      <xdr:rowOff>47625</xdr:rowOff>
    </xdr:to>
    <xdr:graphicFrame>
      <xdr:nvGraphicFramePr>
        <xdr:cNvPr id="1" name="Graphique 1"/>
        <xdr:cNvGraphicFramePr/>
      </xdr:nvGraphicFramePr>
      <xdr:xfrm>
        <a:off x="0" y="2257425"/>
        <a:ext cx="53435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114300</xdr:rowOff>
    </xdr:from>
    <xdr:to>
      <xdr:col>0</xdr:col>
      <xdr:colOff>2124075</xdr:colOff>
      <xdr:row>9</xdr:row>
      <xdr:rowOff>0</xdr:rowOff>
    </xdr:to>
    <xdr:sp>
      <xdr:nvSpPr>
        <xdr:cNvPr id="1" name="WordArt 1"/>
        <xdr:cNvSpPr txBox="1">
          <a:spLocks noChangeArrowheads="1"/>
        </xdr:cNvSpPr>
      </xdr:nvSpPr>
      <xdr:spPr>
        <a:xfrm>
          <a:off x="247650" y="2000250"/>
          <a:ext cx="1876425" cy="3810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000000"/>
              </a:solidFill>
            </a:rPr>
            <a:t>RECETTES</a:t>
          </a:r>
        </a:p>
      </xdr:txBody>
    </xdr:sp>
    <xdr:clientData/>
  </xdr:twoCellAnchor>
  <xdr:twoCellAnchor>
    <xdr:from>
      <xdr:col>0</xdr:col>
      <xdr:colOff>200025</xdr:colOff>
      <xdr:row>21</xdr:row>
      <xdr:rowOff>152400</xdr:rowOff>
    </xdr:from>
    <xdr:to>
      <xdr:col>0</xdr:col>
      <xdr:colOff>2124075</xdr:colOff>
      <xdr:row>23</xdr:row>
      <xdr:rowOff>0</xdr:rowOff>
    </xdr:to>
    <xdr:sp>
      <xdr:nvSpPr>
        <xdr:cNvPr id="2" name="WordArt 2"/>
        <xdr:cNvSpPr txBox="1">
          <a:spLocks noChangeArrowheads="1"/>
        </xdr:cNvSpPr>
      </xdr:nvSpPr>
      <xdr:spPr>
        <a:xfrm>
          <a:off x="200025" y="4933950"/>
          <a:ext cx="1924050" cy="323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000000"/>
              </a:solidFill>
            </a:rPr>
            <a:t>DEPENSES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1276350</xdr:colOff>
      <xdr:row>2</xdr:row>
      <xdr:rowOff>200025</xdr:rowOff>
    </xdr:to>
    <xdr:sp>
      <xdr:nvSpPr>
        <xdr:cNvPr id="3" name="WordArt 3"/>
        <xdr:cNvSpPr txBox="1">
          <a:spLocks noChangeArrowheads="1"/>
        </xdr:cNvSpPr>
      </xdr:nvSpPr>
      <xdr:spPr>
        <a:xfrm>
          <a:off x="66675" y="0"/>
          <a:ext cx="3343275" cy="790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3600" b="0" i="0" u="sng" strike="sngStrike" baseline="0">
              <a:solidFill>
                <a:srgbClr val="666699"/>
              </a:solidFill>
            </a:rPr>
            <a:t>LES HESPERIDES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5" sqref="A15:B15"/>
    </sheetView>
  </sheetViews>
  <sheetFormatPr defaultColWidth="11.421875" defaultRowHeight="12.75"/>
  <cols>
    <col min="1" max="1" width="21.00390625" style="0" customWidth="1"/>
    <col min="2" max="2" width="29.8515625" style="0" customWidth="1"/>
  </cols>
  <sheetData>
    <row r="1" spans="1:2" ht="12.75">
      <c r="A1" s="54" t="s">
        <v>969</v>
      </c>
      <c r="B1" s="54" t="s">
        <v>970</v>
      </c>
    </row>
    <row r="2" spans="1:2" ht="12.75">
      <c r="A2" s="12" t="s">
        <v>971</v>
      </c>
      <c r="B2" s="11" t="s">
        <v>972</v>
      </c>
    </row>
    <row r="3" spans="1:2" ht="12.75">
      <c r="A3" s="12" t="s">
        <v>973</v>
      </c>
      <c r="B3" s="12" t="s">
        <v>974</v>
      </c>
    </row>
    <row r="4" spans="1:2" ht="12.75">
      <c r="A4" s="12" t="s">
        <v>979</v>
      </c>
      <c r="B4" s="12" t="s">
        <v>980</v>
      </c>
    </row>
    <row r="5" spans="1:2" ht="12.75">
      <c r="A5" s="12" t="s">
        <v>981</v>
      </c>
      <c r="B5" s="12" t="s">
        <v>982</v>
      </c>
    </row>
    <row r="6" spans="1:2" ht="12.75">
      <c r="A6" s="12" t="s">
        <v>987</v>
      </c>
      <c r="B6" s="12" t="s">
        <v>988</v>
      </c>
    </row>
    <row r="7" spans="1:2" ht="12.75">
      <c r="A7" s="12" t="s">
        <v>989</v>
      </c>
      <c r="B7" s="12" t="s">
        <v>990</v>
      </c>
    </row>
    <row r="8" spans="1:2" ht="12.75">
      <c r="A8" s="12" t="s">
        <v>991</v>
      </c>
      <c r="B8" s="12" t="s">
        <v>992</v>
      </c>
    </row>
    <row r="9" spans="1:2" ht="12.75">
      <c r="A9" s="12" t="s">
        <v>993</v>
      </c>
      <c r="B9" s="1" t="s">
        <v>994</v>
      </c>
    </row>
    <row r="10" spans="1:2" ht="12.75">
      <c r="A10" s="12" t="s">
        <v>995</v>
      </c>
      <c r="B10" s="12" t="s">
        <v>996</v>
      </c>
    </row>
    <row r="11" spans="1:2" ht="12.75">
      <c r="A11" s="12" t="s">
        <v>997</v>
      </c>
      <c r="B11" s="12" t="s">
        <v>998</v>
      </c>
    </row>
    <row r="12" spans="1:2" ht="12.75">
      <c r="A12" s="12" t="s">
        <v>999</v>
      </c>
      <c r="B12" s="12" t="s">
        <v>1000</v>
      </c>
    </row>
    <row r="13" spans="1:2" ht="12.75">
      <c r="A13" s="12" t="s">
        <v>1001</v>
      </c>
      <c r="B13" s="12" t="s">
        <v>1002</v>
      </c>
    </row>
    <row r="14" spans="1:2" ht="12.75">
      <c r="A14" s="12"/>
      <c r="B14" s="12" t="s">
        <v>1003</v>
      </c>
    </row>
    <row r="15" spans="1:2" ht="12.75">
      <c r="A15" s="12" t="s">
        <v>973</v>
      </c>
      <c r="B15" s="12" t="s">
        <v>1004</v>
      </c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X96"/>
  <sheetViews>
    <sheetView zoomScale="110" zoomScaleNormal="110" zoomScalePageLayoutView="0" workbookViewId="0" topLeftCell="A1">
      <pane ySplit="7" topLeftCell="A63" activePane="bottomLeft" state="frozen"/>
      <selection pane="topLeft" activeCell="C1" sqref="C1"/>
      <selection pane="bottomLeft" activeCell="T79" sqref="T79:U79"/>
    </sheetView>
  </sheetViews>
  <sheetFormatPr defaultColWidth="11.7109375" defaultRowHeight="12.75"/>
  <cols>
    <col min="1" max="1" width="9.00390625" style="400" customWidth="1"/>
    <col min="2" max="2" width="18.140625" style="398" customWidth="1"/>
    <col min="3" max="3" width="32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7" width="12.7109375" style="400" customWidth="1"/>
    <col min="18" max="18" width="10.7109375" style="400" customWidth="1"/>
    <col min="19" max="19" width="11.8515625" style="400" customWidth="1"/>
    <col min="20" max="22" width="10.7109375" style="400" customWidth="1"/>
    <col min="23" max="23" width="11.421875" style="400" customWidth="1"/>
    <col min="24" max="24" width="10.7109375" style="400" customWidth="1"/>
    <col min="25" max="25" width="12.00390625" style="409" customWidth="1"/>
    <col min="26" max="26" width="12.00390625" style="400" customWidth="1"/>
    <col min="27" max="27" width="10.7109375" style="407" customWidth="1"/>
    <col min="28" max="28" width="11.8515625" style="522" customWidth="1"/>
    <col min="29" max="29" width="11.421875" style="407" customWidth="1"/>
    <col min="30" max="31" width="10.7109375" style="407" customWidth="1"/>
    <col min="32" max="32" width="12.00390625" style="407" customWidth="1"/>
    <col min="33" max="16384" width="11.7109375" style="407" customWidth="1"/>
  </cols>
  <sheetData>
    <row r="1" spans="1:36" s="397" customFormat="1" ht="16.5" customHeight="1">
      <c r="A1" s="660"/>
      <c r="B1" s="398"/>
      <c r="C1" s="55" t="s">
        <v>942</v>
      </c>
      <c r="D1" s="399"/>
      <c r="H1" s="400" t="s">
        <v>1016</v>
      </c>
      <c r="I1" s="401"/>
      <c r="J1" s="402" t="s">
        <v>720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721</v>
      </c>
      <c r="AB1" s="405"/>
      <c r="AI1" s="406" t="s">
        <v>969</v>
      </c>
      <c r="AJ1" s="406" t="s">
        <v>970</v>
      </c>
    </row>
    <row r="2" spans="2:36" ht="12" customHeight="1" thickBot="1">
      <c r="B2" s="407"/>
      <c r="C2" s="408"/>
      <c r="D2" s="407"/>
      <c r="H2" s="400"/>
      <c r="I2" s="400"/>
      <c r="AB2" s="405"/>
      <c r="AI2" s="410" t="s">
        <v>971</v>
      </c>
      <c r="AJ2" s="411" t="s">
        <v>972</v>
      </c>
    </row>
    <row r="3" spans="1:36" s="412" customFormat="1" ht="18.75" customHeight="1" thickBot="1">
      <c r="A3" s="661"/>
      <c r="C3" s="413"/>
      <c r="D3" s="414"/>
      <c r="E3" s="832" t="s">
        <v>1018</v>
      </c>
      <c r="F3" s="833"/>
      <c r="G3" s="834"/>
      <c r="H3" s="415">
        <f>Mai15!H46</f>
        <v>30596.71</v>
      </c>
      <c r="I3" s="415">
        <f>Mai15!I46</f>
        <v>38109.560000000005</v>
      </c>
      <c r="J3" s="415">
        <f>Mai15!J46</f>
        <v>30596.71</v>
      </c>
      <c r="K3" s="415">
        <f>Mai15!K46</f>
        <v>39718.19</v>
      </c>
      <c r="L3" s="415">
        <f>Mai15!L46</f>
        <v>0</v>
      </c>
      <c r="M3" s="415">
        <f>Mai15!M46</f>
        <v>63232.73</v>
      </c>
      <c r="N3" s="415">
        <f>Mai15!N46</f>
        <v>0</v>
      </c>
      <c r="O3" s="415">
        <f>Mai15!O46</f>
        <v>77741.76</v>
      </c>
      <c r="P3" s="415">
        <f>Mai15!P46</f>
        <v>0</v>
      </c>
      <c r="Q3" s="415">
        <f>Mai15!Q46</f>
        <v>349.26</v>
      </c>
      <c r="R3" s="415">
        <f>Mai15!R46</f>
        <v>2326.5200000000004</v>
      </c>
      <c r="S3" s="415">
        <f>Mai15!S46</f>
        <v>107.1</v>
      </c>
      <c r="T3" s="415">
        <f>Mai15!T46</f>
        <v>1964.75</v>
      </c>
      <c r="U3" s="415">
        <f>Mai15!U46</f>
        <v>3580.3</v>
      </c>
      <c r="V3" s="415">
        <f>Mai15!V46</f>
        <v>5681.1900000000005</v>
      </c>
      <c r="W3" s="415">
        <f>Mai15!W46</f>
        <v>3690.1800000000003</v>
      </c>
      <c r="X3" s="415">
        <f>Mai15!X46</f>
        <v>1246.67</v>
      </c>
      <c r="Y3" s="415">
        <f>Mai15!Y46</f>
        <v>12000</v>
      </c>
      <c r="Z3" s="415">
        <f>Mai15!Z46</f>
        <v>12000</v>
      </c>
      <c r="AA3" s="415">
        <f>Mai15!AA46</f>
        <v>0</v>
      </c>
      <c r="AB3" s="415">
        <f>Mai15!AB46</f>
        <v>24582.32</v>
      </c>
      <c r="AC3" s="415">
        <f>Mai15!AC46</f>
        <v>204.1</v>
      </c>
      <c r="AD3" s="415">
        <f>Mai15!AD46</f>
        <v>30</v>
      </c>
      <c r="AE3" s="415">
        <f>Mai15!AE46</f>
        <v>1237.54</v>
      </c>
      <c r="AF3" s="415">
        <f>Mai15!AF46</f>
        <v>55.6</v>
      </c>
      <c r="AI3" s="410" t="s">
        <v>973</v>
      </c>
      <c r="AJ3" s="410" t="s">
        <v>974</v>
      </c>
    </row>
    <row r="4" spans="1:36" s="412" customFormat="1" ht="14.25" customHeight="1" thickBot="1">
      <c r="A4" s="661"/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63">
        <v>58</v>
      </c>
      <c r="Z4" s="864"/>
      <c r="AA4" s="857" t="s">
        <v>1021</v>
      </c>
      <c r="AB4" s="838"/>
      <c r="AC4" s="838"/>
      <c r="AD4" s="838"/>
      <c r="AE4" s="838"/>
      <c r="AF4" s="839"/>
      <c r="AI4" s="410" t="s">
        <v>979</v>
      </c>
      <c r="AJ4" s="410" t="s">
        <v>980</v>
      </c>
    </row>
    <row r="5" spans="1:36" s="419" customFormat="1" ht="12.75" customHeight="1">
      <c r="A5" s="662"/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I5" s="410" t="s">
        <v>981</v>
      </c>
      <c r="AJ5" s="410" t="s">
        <v>982</v>
      </c>
    </row>
    <row r="6" spans="2:36" ht="13.5" customHeight="1" thickBot="1">
      <c r="B6" s="540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I6" s="410" t="s">
        <v>987</v>
      </c>
      <c r="AJ6" s="410" t="s">
        <v>988</v>
      </c>
    </row>
    <row r="7" spans="1:232" s="62" customFormat="1" ht="22.5" customHeight="1">
      <c r="A7" s="239" t="s">
        <v>1028</v>
      </c>
      <c r="B7" s="56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600" t="s">
        <v>1034</v>
      </c>
      <c r="I7" s="579" t="s">
        <v>1035</v>
      </c>
      <c r="J7" s="600" t="s">
        <v>1036</v>
      </c>
      <c r="K7" s="579" t="s">
        <v>1037</v>
      </c>
      <c r="L7" s="600" t="s">
        <v>1036</v>
      </c>
      <c r="M7" s="579" t="s">
        <v>1037</v>
      </c>
      <c r="N7" s="600" t="s">
        <v>1036</v>
      </c>
      <c r="O7" s="579" t="s">
        <v>1037</v>
      </c>
      <c r="P7" s="600" t="s">
        <v>1036</v>
      </c>
      <c r="Q7" s="579" t="s">
        <v>1037</v>
      </c>
      <c r="R7" s="65" t="s">
        <v>1038</v>
      </c>
      <c r="S7" s="58" t="s">
        <v>1039</v>
      </c>
      <c r="T7" s="58" t="s">
        <v>1040</v>
      </c>
      <c r="U7" s="58" t="s">
        <v>1041</v>
      </c>
      <c r="V7" s="58" t="s">
        <v>1042</v>
      </c>
      <c r="W7" s="58" t="s">
        <v>913</v>
      </c>
      <c r="X7" s="564" t="s">
        <v>1044</v>
      </c>
      <c r="Y7" s="573" t="s">
        <v>1026</v>
      </c>
      <c r="Z7" s="574" t="s">
        <v>1026</v>
      </c>
      <c r="AA7" s="65" t="s">
        <v>914</v>
      </c>
      <c r="AB7" s="58" t="s">
        <v>915</v>
      </c>
      <c r="AC7" s="58" t="s">
        <v>722</v>
      </c>
      <c r="AD7" s="58" t="s">
        <v>916</v>
      </c>
      <c r="AE7" s="58" t="s">
        <v>946</v>
      </c>
      <c r="AF7" s="58" t="s">
        <v>918</v>
      </c>
      <c r="AG7" s="66"/>
      <c r="AH7" s="66"/>
      <c r="AI7" s="410" t="s">
        <v>989</v>
      </c>
      <c r="AJ7" s="410" t="s">
        <v>990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6" ht="18.75" customHeight="1">
      <c r="A8" s="270">
        <v>42156</v>
      </c>
      <c r="B8" s="271" t="s">
        <v>723</v>
      </c>
      <c r="C8" s="271" t="s">
        <v>920</v>
      </c>
      <c r="D8" s="273"/>
      <c r="E8" s="273"/>
      <c r="F8" s="273" t="s">
        <v>1054</v>
      </c>
      <c r="G8" s="273"/>
      <c r="H8" s="427">
        <f>J8+L8+N8+P8</f>
        <v>0</v>
      </c>
      <c r="I8" s="427">
        <f>K8+M8+O8+Q8</f>
        <v>1084.85</v>
      </c>
      <c r="J8" s="288"/>
      <c r="K8" s="276"/>
      <c r="L8" s="277"/>
      <c r="M8" s="278"/>
      <c r="N8" s="391"/>
      <c r="O8" s="545"/>
      <c r="P8" s="279"/>
      <c r="Q8" s="280">
        <v>1084.85</v>
      </c>
      <c r="R8" s="195"/>
      <c r="S8" s="195"/>
      <c r="T8" s="195"/>
      <c r="U8" s="195"/>
      <c r="V8" s="195"/>
      <c r="W8" s="195"/>
      <c r="X8" s="553"/>
      <c r="Y8" s="568"/>
      <c r="Z8" s="569"/>
      <c r="AA8" s="281"/>
      <c r="AB8" s="282">
        <v>1084.85</v>
      </c>
      <c r="AC8" s="282"/>
      <c r="AD8" s="282"/>
      <c r="AE8" s="282"/>
      <c r="AF8" s="282"/>
      <c r="AI8" s="410" t="s">
        <v>991</v>
      </c>
      <c r="AJ8" s="410" t="s">
        <v>992</v>
      </c>
    </row>
    <row r="9" spans="1:36" ht="18.75" customHeight="1">
      <c r="A9" s="581">
        <v>42156</v>
      </c>
      <c r="B9" s="283" t="s">
        <v>724</v>
      </c>
      <c r="C9" s="286" t="s">
        <v>920</v>
      </c>
      <c r="D9" s="287"/>
      <c r="E9" s="293"/>
      <c r="F9" s="293" t="s">
        <v>1064</v>
      </c>
      <c r="G9" s="293"/>
      <c r="H9" s="427">
        <f aca="true" t="shared" si="0" ref="H9:H80">J9+L9+N9+P9</f>
        <v>0</v>
      </c>
      <c r="I9" s="427">
        <f aca="true" t="shared" si="1" ref="I9:I80">K9+M9+O9+Q9</f>
        <v>43.6</v>
      </c>
      <c r="J9" s="275"/>
      <c r="K9" s="276"/>
      <c r="L9" s="277"/>
      <c r="M9" s="278"/>
      <c r="N9" s="391"/>
      <c r="O9" s="545"/>
      <c r="P9" s="279"/>
      <c r="Q9" s="280">
        <v>43.6</v>
      </c>
      <c r="R9" s="195"/>
      <c r="S9" s="195"/>
      <c r="T9" s="195"/>
      <c r="U9" s="195"/>
      <c r="V9" s="195"/>
      <c r="W9" s="195"/>
      <c r="X9" s="553"/>
      <c r="Y9" s="568"/>
      <c r="Z9" s="569"/>
      <c r="AA9" s="281"/>
      <c r="AB9" s="282">
        <v>43.6</v>
      </c>
      <c r="AC9" s="282"/>
      <c r="AD9" s="282"/>
      <c r="AE9" s="282"/>
      <c r="AF9" s="282"/>
      <c r="AI9" s="410" t="s">
        <v>993</v>
      </c>
      <c r="AJ9" s="430" t="s">
        <v>994</v>
      </c>
    </row>
    <row r="10" spans="1:36" ht="18.75" customHeight="1">
      <c r="A10" s="581">
        <v>42156</v>
      </c>
      <c r="B10" s="283" t="s">
        <v>871</v>
      </c>
      <c r="C10" s="271" t="s">
        <v>920</v>
      </c>
      <c r="D10" s="272"/>
      <c r="E10" s="273"/>
      <c r="F10" s="273" t="s">
        <v>1064</v>
      </c>
      <c r="G10" s="273"/>
      <c r="H10" s="427">
        <f t="shared" si="0"/>
        <v>0</v>
      </c>
      <c r="I10" s="427">
        <f t="shared" si="1"/>
        <v>2.25</v>
      </c>
      <c r="J10" s="288"/>
      <c r="K10" s="276"/>
      <c r="L10" s="277"/>
      <c r="M10" s="278"/>
      <c r="N10" s="391"/>
      <c r="O10" s="545"/>
      <c r="P10" s="279"/>
      <c r="Q10" s="280">
        <v>2.25</v>
      </c>
      <c r="R10" s="195"/>
      <c r="S10" s="195"/>
      <c r="T10" s="195"/>
      <c r="U10" s="195"/>
      <c r="V10" s="195"/>
      <c r="W10" s="195"/>
      <c r="X10" s="553"/>
      <c r="Y10" s="568"/>
      <c r="Z10" s="569"/>
      <c r="AA10" s="281"/>
      <c r="AB10" s="282">
        <v>2.25</v>
      </c>
      <c r="AC10" s="282"/>
      <c r="AD10" s="282"/>
      <c r="AE10" s="282"/>
      <c r="AF10" s="282"/>
      <c r="AI10" s="410" t="s">
        <v>995</v>
      </c>
      <c r="AJ10" s="410" t="s">
        <v>996</v>
      </c>
    </row>
    <row r="11" spans="1:36" ht="18.75" customHeight="1">
      <c r="A11" s="581">
        <v>42156</v>
      </c>
      <c r="B11" s="283" t="s">
        <v>725</v>
      </c>
      <c r="C11" s="286" t="s">
        <v>726</v>
      </c>
      <c r="D11" s="287"/>
      <c r="E11" s="293"/>
      <c r="F11" s="293" t="s">
        <v>1054</v>
      </c>
      <c r="G11" s="293"/>
      <c r="H11" s="427">
        <f t="shared" si="0"/>
        <v>0</v>
      </c>
      <c r="I11" s="427">
        <f t="shared" si="1"/>
        <v>34.5</v>
      </c>
      <c r="J11" s="275"/>
      <c r="K11" s="276"/>
      <c r="L11" s="277"/>
      <c r="M11" s="278"/>
      <c r="N11" s="391"/>
      <c r="O11" s="545"/>
      <c r="P11" s="279"/>
      <c r="Q11" s="280">
        <v>34.5</v>
      </c>
      <c r="R11" s="195"/>
      <c r="S11" s="195"/>
      <c r="T11" s="195"/>
      <c r="U11" s="195"/>
      <c r="V11" s="195"/>
      <c r="W11" s="195"/>
      <c r="X11" s="553"/>
      <c r="Y11" s="568"/>
      <c r="Z11" s="569"/>
      <c r="AA11" s="281"/>
      <c r="AB11" s="282"/>
      <c r="AC11" s="282"/>
      <c r="AD11" s="282"/>
      <c r="AE11" s="282"/>
      <c r="AF11" s="282">
        <v>34.5</v>
      </c>
      <c r="AI11" s="410" t="s">
        <v>997</v>
      </c>
      <c r="AJ11" s="410" t="s">
        <v>998</v>
      </c>
    </row>
    <row r="12" spans="1:36" s="425" customFormat="1" ht="18.75" customHeight="1">
      <c r="A12" s="581">
        <v>42157</v>
      </c>
      <c r="B12" s="292" t="s">
        <v>727</v>
      </c>
      <c r="C12" s="286" t="s">
        <v>728</v>
      </c>
      <c r="D12" s="287"/>
      <c r="E12" s="293"/>
      <c r="F12" s="293" t="s">
        <v>1054</v>
      </c>
      <c r="G12" s="293"/>
      <c r="H12" s="427">
        <f t="shared" si="0"/>
        <v>0</v>
      </c>
      <c r="I12" s="427">
        <f t="shared" si="1"/>
        <v>81</v>
      </c>
      <c r="J12" s="275"/>
      <c r="K12" s="276"/>
      <c r="L12" s="277"/>
      <c r="M12" s="278"/>
      <c r="N12" s="391"/>
      <c r="O12" s="545"/>
      <c r="P12" s="279"/>
      <c r="Q12" s="280">
        <v>81</v>
      </c>
      <c r="R12" s="195"/>
      <c r="S12" s="195"/>
      <c r="T12" s="195"/>
      <c r="U12" s="195"/>
      <c r="V12" s="195"/>
      <c r="W12" s="195"/>
      <c r="X12" s="553"/>
      <c r="Y12" s="568"/>
      <c r="Z12" s="569"/>
      <c r="AA12" s="281"/>
      <c r="AB12" s="282"/>
      <c r="AC12" s="282"/>
      <c r="AD12" s="282"/>
      <c r="AE12" s="282"/>
      <c r="AF12" s="282">
        <v>81</v>
      </c>
      <c r="AI12" s="410" t="s">
        <v>999</v>
      </c>
      <c r="AJ12" s="410" t="s">
        <v>1000</v>
      </c>
    </row>
    <row r="13" spans="1:36" s="425" customFormat="1" ht="18.75" customHeight="1">
      <c r="A13" s="581">
        <v>42159</v>
      </c>
      <c r="B13" s="289" t="s">
        <v>729</v>
      </c>
      <c r="C13" s="271" t="s">
        <v>859</v>
      </c>
      <c r="D13" s="272" t="s">
        <v>730</v>
      </c>
      <c r="E13" s="273"/>
      <c r="F13" s="273" t="s">
        <v>1054</v>
      </c>
      <c r="G13" s="273"/>
      <c r="H13" s="427">
        <f t="shared" si="0"/>
        <v>0</v>
      </c>
      <c r="I13" s="427">
        <f t="shared" si="1"/>
        <v>42</v>
      </c>
      <c r="J13" s="275"/>
      <c r="K13" s="276"/>
      <c r="L13" s="277"/>
      <c r="M13" s="278"/>
      <c r="N13" s="391"/>
      <c r="O13" s="545"/>
      <c r="P13" s="279"/>
      <c r="Q13" s="280">
        <v>42</v>
      </c>
      <c r="R13" s="195"/>
      <c r="S13" s="195"/>
      <c r="T13" s="195"/>
      <c r="U13" s="195"/>
      <c r="V13" s="195"/>
      <c r="W13" s="195"/>
      <c r="X13" s="553"/>
      <c r="Y13" s="568"/>
      <c r="Z13" s="569"/>
      <c r="AA13" s="281"/>
      <c r="AB13" s="282"/>
      <c r="AC13" s="282">
        <v>42</v>
      </c>
      <c r="AD13" s="282"/>
      <c r="AE13" s="282"/>
      <c r="AF13" s="282"/>
      <c r="AI13" s="410" t="s">
        <v>1001</v>
      </c>
      <c r="AJ13" s="410" t="s">
        <v>1002</v>
      </c>
    </row>
    <row r="14" spans="1:36" s="425" customFormat="1" ht="18.75" customHeight="1">
      <c r="A14" s="581">
        <v>42159</v>
      </c>
      <c r="B14" s="283" t="s">
        <v>731</v>
      </c>
      <c r="C14" s="286" t="s">
        <v>732</v>
      </c>
      <c r="D14" s="272" t="s">
        <v>733</v>
      </c>
      <c r="E14" s="293"/>
      <c r="F14" s="293" t="s">
        <v>1054</v>
      </c>
      <c r="G14" s="293"/>
      <c r="H14" s="427">
        <f t="shared" si="0"/>
        <v>0</v>
      </c>
      <c r="I14" s="427">
        <f t="shared" si="1"/>
        <v>2</v>
      </c>
      <c r="J14" s="275"/>
      <c r="K14" s="276"/>
      <c r="L14" s="277"/>
      <c r="M14" s="278"/>
      <c r="N14" s="391"/>
      <c r="O14" s="545"/>
      <c r="P14" s="279"/>
      <c r="Q14" s="280">
        <v>2</v>
      </c>
      <c r="R14" s="195"/>
      <c r="S14" s="195"/>
      <c r="T14" s="195"/>
      <c r="U14" s="195"/>
      <c r="V14" s="195"/>
      <c r="W14" s="195"/>
      <c r="X14" s="553"/>
      <c r="Y14" s="568"/>
      <c r="Z14" s="569"/>
      <c r="AA14" s="281"/>
      <c r="AB14" s="282"/>
      <c r="AC14" s="282">
        <v>2</v>
      </c>
      <c r="AD14" s="282"/>
      <c r="AE14" s="282"/>
      <c r="AF14" s="282"/>
      <c r="AI14" s="410"/>
      <c r="AJ14" s="410" t="s">
        <v>1003</v>
      </c>
    </row>
    <row r="15" spans="1:36" s="425" customFormat="1" ht="18.75" customHeight="1">
      <c r="A15" s="581">
        <v>42159</v>
      </c>
      <c r="B15" s="292" t="s">
        <v>734</v>
      </c>
      <c r="C15" s="271" t="s">
        <v>732</v>
      </c>
      <c r="D15" s="272" t="s">
        <v>735</v>
      </c>
      <c r="E15" s="293"/>
      <c r="F15" s="293" t="s">
        <v>1054</v>
      </c>
      <c r="G15" s="293"/>
      <c r="H15" s="427">
        <f t="shared" si="0"/>
        <v>0</v>
      </c>
      <c r="I15" s="427">
        <f t="shared" si="1"/>
        <v>12</v>
      </c>
      <c r="J15" s="275"/>
      <c r="K15" s="276"/>
      <c r="L15" s="277"/>
      <c r="M15" s="278"/>
      <c r="N15" s="391"/>
      <c r="O15" s="545"/>
      <c r="P15" s="279"/>
      <c r="Q15" s="280">
        <v>12</v>
      </c>
      <c r="R15" s="195"/>
      <c r="S15" s="195"/>
      <c r="T15" s="195"/>
      <c r="U15" s="195"/>
      <c r="V15" s="195"/>
      <c r="W15" s="236"/>
      <c r="X15" s="553"/>
      <c r="Y15" s="568"/>
      <c r="Z15" s="569"/>
      <c r="AA15" s="663"/>
      <c r="AB15" s="282"/>
      <c r="AC15" s="669">
        <v>12</v>
      </c>
      <c r="AD15" s="282"/>
      <c r="AE15" s="282"/>
      <c r="AF15" s="282"/>
      <c r="AI15" s="410" t="s">
        <v>736</v>
      </c>
      <c r="AJ15" s="410" t="s">
        <v>737</v>
      </c>
    </row>
    <row r="16" spans="1:36" s="425" customFormat="1" ht="18.75" customHeight="1">
      <c r="A16" s="581">
        <v>42160</v>
      </c>
      <c r="B16" s="620" t="s">
        <v>738</v>
      </c>
      <c r="C16" s="527" t="s">
        <v>739</v>
      </c>
      <c r="D16" s="272" t="s">
        <v>740</v>
      </c>
      <c r="E16" s="293"/>
      <c r="F16" s="293" t="s">
        <v>1054</v>
      </c>
      <c r="G16" s="293"/>
      <c r="H16" s="427">
        <f t="shared" si="0"/>
        <v>0</v>
      </c>
      <c r="I16" s="427">
        <f t="shared" si="1"/>
        <v>22.2</v>
      </c>
      <c r="J16" s="275"/>
      <c r="K16" s="276"/>
      <c r="L16" s="277"/>
      <c r="M16" s="278"/>
      <c r="N16" s="391"/>
      <c r="O16" s="545"/>
      <c r="P16" s="279"/>
      <c r="Q16" s="280">
        <v>22.2</v>
      </c>
      <c r="R16" s="195"/>
      <c r="S16" s="195"/>
      <c r="T16" s="195"/>
      <c r="U16" s="195"/>
      <c r="V16" s="195"/>
      <c r="W16" s="236"/>
      <c r="X16" s="553"/>
      <c r="Y16" s="568"/>
      <c r="Z16" s="569"/>
      <c r="AA16" s="653"/>
      <c r="AB16" s="282"/>
      <c r="AC16" s="669">
        <v>22.2</v>
      </c>
      <c r="AD16" s="282"/>
      <c r="AE16" s="282"/>
      <c r="AF16" s="282"/>
      <c r="AI16" s="410" t="s">
        <v>741</v>
      </c>
      <c r="AJ16" s="425" t="s">
        <v>742</v>
      </c>
    </row>
    <row r="17" spans="1:36" ht="18.75" customHeight="1">
      <c r="A17" s="581">
        <v>42161</v>
      </c>
      <c r="B17" s="283" t="s">
        <v>743</v>
      </c>
      <c r="C17" s="271" t="s">
        <v>732</v>
      </c>
      <c r="D17" s="272" t="s">
        <v>744</v>
      </c>
      <c r="E17" s="293"/>
      <c r="F17" s="293" t="s">
        <v>1054</v>
      </c>
      <c r="G17" s="293"/>
      <c r="H17" s="427">
        <f t="shared" si="0"/>
        <v>0</v>
      </c>
      <c r="I17" s="427">
        <f t="shared" si="1"/>
        <v>24</v>
      </c>
      <c r="J17" s="275"/>
      <c r="K17" s="276"/>
      <c r="L17" s="277"/>
      <c r="M17" s="278"/>
      <c r="N17" s="391"/>
      <c r="O17" s="545"/>
      <c r="P17" s="279"/>
      <c r="Q17" s="280">
        <v>24</v>
      </c>
      <c r="R17" s="195"/>
      <c r="S17" s="195"/>
      <c r="T17" s="195"/>
      <c r="U17" s="195"/>
      <c r="V17" s="195"/>
      <c r="W17" s="195"/>
      <c r="X17" s="553"/>
      <c r="Y17" s="568"/>
      <c r="Z17" s="569"/>
      <c r="AA17" s="281"/>
      <c r="AB17" s="282"/>
      <c r="AC17" s="669">
        <v>24</v>
      </c>
      <c r="AD17" s="282"/>
      <c r="AE17" s="282"/>
      <c r="AF17" s="282"/>
      <c r="AI17" s="410"/>
      <c r="AJ17" s="425" t="s">
        <v>745</v>
      </c>
    </row>
    <row r="18" spans="1:36" ht="18.75" customHeight="1">
      <c r="A18" s="581">
        <v>42161</v>
      </c>
      <c r="B18" s="283" t="s">
        <v>746</v>
      </c>
      <c r="C18" s="286" t="s">
        <v>739</v>
      </c>
      <c r="D18" s="272" t="s">
        <v>747</v>
      </c>
      <c r="E18" s="293"/>
      <c r="F18" s="293" t="s">
        <v>1054</v>
      </c>
      <c r="G18" s="293"/>
      <c r="H18" s="427">
        <f t="shared" si="0"/>
        <v>0</v>
      </c>
      <c r="I18" s="427">
        <f t="shared" si="1"/>
        <v>87.2</v>
      </c>
      <c r="J18" s="288"/>
      <c r="K18" s="276"/>
      <c r="L18" s="277"/>
      <c r="M18" s="278"/>
      <c r="N18" s="391"/>
      <c r="O18" s="545"/>
      <c r="P18" s="279"/>
      <c r="Q18" s="280">
        <v>87.2</v>
      </c>
      <c r="R18" s="195"/>
      <c r="S18" s="195"/>
      <c r="T18" s="195"/>
      <c r="U18" s="195"/>
      <c r="V18" s="195"/>
      <c r="W18" s="195"/>
      <c r="X18" s="553"/>
      <c r="Y18" s="568"/>
      <c r="Z18" s="569"/>
      <c r="AA18" s="281"/>
      <c r="AB18" s="282"/>
      <c r="AC18" s="669">
        <v>87.2</v>
      </c>
      <c r="AD18" s="282"/>
      <c r="AE18" s="282"/>
      <c r="AF18" s="282"/>
      <c r="AI18" s="410"/>
      <c r="AJ18" s="425" t="s">
        <v>748</v>
      </c>
    </row>
    <row r="19" spans="1:36" ht="18.75" customHeight="1">
      <c r="A19" s="581">
        <v>42161</v>
      </c>
      <c r="B19" s="283" t="s">
        <v>749</v>
      </c>
      <c r="C19" s="271" t="s">
        <v>732</v>
      </c>
      <c r="D19" s="272" t="s">
        <v>750</v>
      </c>
      <c r="E19" s="273"/>
      <c r="F19" s="273" t="s">
        <v>1054</v>
      </c>
      <c r="G19" s="273"/>
      <c r="H19" s="427">
        <f t="shared" si="0"/>
        <v>0</v>
      </c>
      <c r="I19" s="427">
        <f t="shared" si="1"/>
        <v>12</v>
      </c>
      <c r="J19" s="275"/>
      <c r="K19" s="276"/>
      <c r="L19" s="277"/>
      <c r="M19" s="278"/>
      <c r="N19" s="391"/>
      <c r="O19" s="545"/>
      <c r="P19" s="279"/>
      <c r="Q19" s="280">
        <v>12</v>
      </c>
      <c r="R19" s="195"/>
      <c r="S19" s="195"/>
      <c r="T19" s="195"/>
      <c r="U19" s="195"/>
      <c r="V19" s="195"/>
      <c r="W19" s="195"/>
      <c r="X19" s="553"/>
      <c r="Y19" s="568"/>
      <c r="Z19" s="569"/>
      <c r="AA19" s="281"/>
      <c r="AB19" s="282"/>
      <c r="AC19" s="669">
        <v>12</v>
      </c>
      <c r="AD19" s="282"/>
      <c r="AE19" s="282"/>
      <c r="AF19" s="282"/>
      <c r="AI19" s="410"/>
      <c r="AJ19" s="425"/>
    </row>
    <row r="20" spans="1:35" ht="18.75" customHeight="1">
      <c r="A20" s="581">
        <v>42162</v>
      </c>
      <c r="B20" s="283" t="s">
        <v>751</v>
      </c>
      <c r="C20" s="271" t="s">
        <v>752</v>
      </c>
      <c r="D20" s="272" t="s">
        <v>753</v>
      </c>
      <c r="E20" s="273"/>
      <c r="F20" s="273" t="s">
        <v>1064</v>
      </c>
      <c r="G20" s="273"/>
      <c r="H20" s="427">
        <f t="shared" si="0"/>
        <v>0</v>
      </c>
      <c r="I20" s="427">
        <f t="shared" si="1"/>
        <v>10</v>
      </c>
      <c r="J20" s="288"/>
      <c r="K20" s="276"/>
      <c r="L20" s="277"/>
      <c r="M20" s="278"/>
      <c r="N20" s="391"/>
      <c r="O20" s="545"/>
      <c r="P20" s="279"/>
      <c r="Q20" s="280">
        <v>10</v>
      </c>
      <c r="R20" s="195"/>
      <c r="S20" s="195"/>
      <c r="T20" s="195"/>
      <c r="U20" s="195"/>
      <c r="V20" s="195"/>
      <c r="W20" s="195"/>
      <c r="X20" s="553"/>
      <c r="Y20" s="568"/>
      <c r="Z20" s="569"/>
      <c r="AA20" s="281"/>
      <c r="AB20" s="282"/>
      <c r="AC20" s="669">
        <v>10</v>
      </c>
      <c r="AD20" s="282"/>
      <c r="AE20" s="282"/>
      <c r="AF20" s="282"/>
      <c r="AI20" s="410"/>
    </row>
    <row r="21" spans="1:35" ht="18.75" customHeight="1">
      <c r="A21" s="581">
        <v>42162</v>
      </c>
      <c r="B21" s="283" t="s">
        <v>754</v>
      </c>
      <c r="C21" s="271" t="s">
        <v>732</v>
      </c>
      <c r="D21" s="272" t="s">
        <v>755</v>
      </c>
      <c r="E21" s="293"/>
      <c r="F21" s="273" t="s">
        <v>1054</v>
      </c>
      <c r="G21" s="293"/>
      <c r="H21" s="427">
        <f t="shared" si="0"/>
        <v>0</v>
      </c>
      <c r="I21" s="427">
        <f t="shared" si="1"/>
        <v>12</v>
      </c>
      <c r="J21" s="275"/>
      <c r="K21" s="276"/>
      <c r="L21" s="277"/>
      <c r="M21" s="278"/>
      <c r="N21" s="391"/>
      <c r="O21" s="545"/>
      <c r="P21" s="279"/>
      <c r="Q21" s="280">
        <v>12</v>
      </c>
      <c r="R21" s="195"/>
      <c r="S21" s="195"/>
      <c r="T21" s="195"/>
      <c r="U21" s="195"/>
      <c r="V21" s="195"/>
      <c r="W21" s="195"/>
      <c r="X21" s="553"/>
      <c r="Y21" s="568"/>
      <c r="Z21" s="569"/>
      <c r="AA21" s="281"/>
      <c r="AB21" s="282"/>
      <c r="AC21" s="669">
        <v>12</v>
      </c>
      <c r="AD21" s="282"/>
      <c r="AE21" s="282"/>
      <c r="AF21" s="282"/>
      <c r="AI21" s="410"/>
    </row>
    <row r="22" spans="1:32" ht="18.75" customHeight="1">
      <c r="A22" s="581">
        <v>42163</v>
      </c>
      <c r="B22" s="283" t="s">
        <v>756</v>
      </c>
      <c r="C22" s="271" t="s">
        <v>739</v>
      </c>
      <c r="D22" s="272" t="s">
        <v>757</v>
      </c>
      <c r="E22" s="293"/>
      <c r="F22" s="293" t="s">
        <v>1054</v>
      </c>
      <c r="G22" s="293"/>
      <c r="H22" s="427">
        <f t="shared" si="0"/>
        <v>0</v>
      </c>
      <c r="I22" s="427">
        <f t="shared" si="1"/>
        <v>14</v>
      </c>
      <c r="J22" s="275"/>
      <c r="K22" s="276"/>
      <c r="L22" s="277"/>
      <c r="M22" s="278"/>
      <c r="N22" s="391"/>
      <c r="O22" s="545"/>
      <c r="P22" s="279"/>
      <c r="Q22" s="280">
        <v>14</v>
      </c>
      <c r="R22" s="195"/>
      <c r="S22" s="195"/>
      <c r="T22" s="195"/>
      <c r="U22" s="195"/>
      <c r="V22" s="195"/>
      <c r="W22" s="195"/>
      <c r="X22" s="553"/>
      <c r="Y22" s="568"/>
      <c r="Z22" s="569"/>
      <c r="AA22" s="281"/>
      <c r="AB22" s="282"/>
      <c r="AC22" s="669">
        <v>14</v>
      </c>
      <c r="AD22" s="282"/>
      <c r="AE22" s="282"/>
      <c r="AF22" s="282"/>
    </row>
    <row r="23" spans="1:32" ht="18.75" customHeight="1">
      <c r="A23" s="581">
        <v>42168</v>
      </c>
      <c r="B23" s="283" t="s">
        <v>758</v>
      </c>
      <c r="C23" s="271" t="s">
        <v>732</v>
      </c>
      <c r="D23" s="272" t="s">
        <v>759</v>
      </c>
      <c r="E23" s="293"/>
      <c r="F23" s="273" t="s">
        <v>1054</v>
      </c>
      <c r="G23" s="293"/>
      <c r="H23" s="427">
        <f t="shared" si="0"/>
        <v>0</v>
      </c>
      <c r="I23" s="427">
        <f t="shared" si="1"/>
        <v>12</v>
      </c>
      <c r="J23" s="275"/>
      <c r="K23" s="276"/>
      <c r="L23" s="277"/>
      <c r="M23" s="278"/>
      <c r="N23" s="391"/>
      <c r="O23" s="545"/>
      <c r="P23" s="279"/>
      <c r="Q23" s="280">
        <v>12</v>
      </c>
      <c r="R23" s="195"/>
      <c r="S23" s="195"/>
      <c r="T23" s="195"/>
      <c r="U23" s="195"/>
      <c r="V23" s="195"/>
      <c r="W23" s="195"/>
      <c r="X23" s="553"/>
      <c r="Y23" s="568"/>
      <c r="Z23" s="569"/>
      <c r="AA23" s="281"/>
      <c r="AB23" s="282"/>
      <c r="AC23" s="669">
        <v>12</v>
      </c>
      <c r="AD23" s="282"/>
      <c r="AE23" s="282"/>
      <c r="AF23" s="282"/>
    </row>
    <row r="24" spans="1:32" ht="18.75" customHeight="1">
      <c r="A24" s="581">
        <v>42168</v>
      </c>
      <c r="B24" s="283" t="s">
        <v>760</v>
      </c>
      <c r="C24" s="286" t="s">
        <v>732</v>
      </c>
      <c r="D24" s="287" t="s">
        <v>761</v>
      </c>
      <c r="E24" s="293"/>
      <c r="F24" s="293" t="s">
        <v>1054</v>
      </c>
      <c r="G24" s="293"/>
      <c r="H24" s="427">
        <f t="shared" si="0"/>
        <v>0</v>
      </c>
      <c r="I24" s="427">
        <f t="shared" si="1"/>
        <v>24</v>
      </c>
      <c r="J24" s="275"/>
      <c r="K24" s="276"/>
      <c r="L24" s="277"/>
      <c r="M24" s="278"/>
      <c r="N24" s="391"/>
      <c r="O24" s="545"/>
      <c r="P24" s="279"/>
      <c r="Q24" s="280">
        <v>24</v>
      </c>
      <c r="R24" s="195"/>
      <c r="S24" s="195"/>
      <c r="T24" s="195"/>
      <c r="U24" s="195"/>
      <c r="V24" s="195"/>
      <c r="W24" s="195"/>
      <c r="X24" s="553"/>
      <c r="Y24" s="568"/>
      <c r="Z24" s="569"/>
      <c r="AA24" s="281"/>
      <c r="AB24" s="282"/>
      <c r="AC24" s="669">
        <v>24</v>
      </c>
      <c r="AD24" s="282"/>
      <c r="AE24" s="282"/>
      <c r="AF24" s="282"/>
    </row>
    <row r="25" spans="1:32" ht="18.75" customHeight="1">
      <c r="A25" s="581">
        <v>42169</v>
      </c>
      <c r="B25" s="283" t="s">
        <v>762</v>
      </c>
      <c r="C25" s="286" t="s">
        <v>732</v>
      </c>
      <c r="D25" s="287" t="s">
        <v>763</v>
      </c>
      <c r="E25" s="293"/>
      <c r="F25" s="293" t="s">
        <v>1054</v>
      </c>
      <c r="G25" s="293"/>
      <c r="H25" s="427">
        <f t="shared" si="0"/>
        <v>0</v>
      </c>
      <c r="I25" s="427">
        <f t="shared" si="1"/>
        <v>24</v>
      </c>
      <c r="J25" s="288"/>
      <c r="K25" s="276"/>
      <c r="L25" s="277"/>
      <c r="M25" s="278"/>
      <c r="N25" s="391"/>
      <c r="O25" s="545"/>
      <c r="P25" s="279"/>
      <c r="Q25" s="280">
        <v>24</v>
      </c>
      <c r="R25" s="195"/>
      <c r="S25" s="195"/>
      <c r="T25" s="195"/>
      <c r="U25" s="195"/>
      <c r="V25" s="195"/>
      <c r="W25" s="195"/>
      <c r="X25" s="553"/>
      <c r="Y25" s="568"/>
      <c r="Z25" s="569"/>
      <c r="AA25" s="281"/>
      <c r="AB25" s="282"/>
      <c r="AC25" s="669">
        <v>24</v>
      </c>
      <c r="AD25" s="282"/>
      <c r="AE25" s="282"/>
      <c r="AF25" s="282"/>
    </row>
    <row r="26" spans="1:32" ht="18.75" customHeight="1">
      <c r="A26" s="581">
        <v>42169</v>
      </c>
      <c r="B26" s="283" t="s">
        <v>754</v>
      </c>
      <c r="C26" s="286" t="s">
        <v>732</v>
      </c>
      <c r="D26" s="287" t="s">
        <v>764</v>
      </c>
      <c r="E26" s="293"/>
      <c r="F26" s="293" t="s">
        <v>1054</v>
      </c>
      <c r="G26" s="293"/>
      <c r="H26" s="427">
        <f t="shared" si="0"/>
        <v>0</v>
      </c>
      <c r="I26" s="427">
        <f t="shared" si="1"/>
        <v>12</v>
      </c>
      <c r="J26" s="275"/>
      <c r="K26" s="276"/>
      <c r="L26" s="277"/>
      <c r="M26" s="278"/>
      <c r="N26" s="391"/>
      <c r="O26" s="545"/>
      <c r="P26" s="279"/>
      <c r="Q26" s="280">
        <v>12</v>
      </c>
      <c r="R26" s="195"/>
      <c r="S26" s="195"/>
      <c r="T26" s="195"/>
      <c r="U26" s="195"/>
      <c r="V26" s="195"/>
      <c r="W26" s="195"/>
      <c r="X26" s="553"/>
      <c r="Y26" s="568"/>
      <c r="Z26" s="569"/>
      <c r="AA26" s="281"/>
      <c r="AB26" s="282"/>
      <c r="AC26" s="669">
        <v>12</v>
      </c>
      <c r="AD26" s="282"/>
      <c r="AE26" s="282"/>
      <c r="AF26" s="282"/>
    </row>
    <row r="27" spans="1:32" ht="18.75" customHeight="1">
      <c r="A27" s="581">
        <v>42169</v>
      </c>
      <c r="B27" s="283" t="s">
        <v>765</v>
      </c>
      <c r="C27" s="286" t="s">
        <v>739</v>
      </c>
      <c r="D27" s="287" t="s">
        <v>766</v>
      </c>
      <c r="E27" s="293"/>
      <c r="F27" s="293" t="s">
        <v>1054</v>
      </c>
      <c r="G27" s="293"/>
      <c r="H27" s="427">
        <f t="shared" si="0"/>
        <v>0</v>
      </c>
      <c r="I27" s="427">
        <f t="shared" si="1"/>
        <v>24.8</v>
      </c>
      <c r="J27" s="275"/>
      <c r="K27" s="276"/>
      <c r="L27" s="277"/>
      <c r="M27" s="278"/>
      <c r="N27" s="391"/>
      <c r="O27" s="545"/>
      <c r="P27" s="279"/>
      <c r="Q27" s="280">
        <v>24.8</v>
      </c>
      <c r="R27" s="195"/>
      <c r="S27" s="195"/>
      <c r="T27" s="195"/>
      <c r="U27" s="195"/>
      <c r="V27" s="195"/>
      <c r="W27" s="195"/>
      <c r="X27" s="553"/>
      <c r="Y27" s="568"/>
      <c r="Z27" s="569"/>
      <c r="AA27" s="281"/>
      <c r="AB27" s="282"/>
      <c r="AC27" s="669">
        <v>24.8</v>
      </c>
      <c r="AD27" s="282"/>
      <c r="AE27" s="282"/>
      <c r="AF27" s="282"/>
    </row>
    <row r="28" spans="1:32" ht="18.75" customHeight="1">
      <c r="A28" s="581">
        <v>42170</v>
      </c>
      <c r="B28" s="664" t="s">
        <v>767</v>
      </c>
      <c r="C28" s="286" t="s">
        <v>732</v>
      </c>
      <c r="D28" s="287" t="s">
        <v>768</v>
      </c>
      <c r="E28" s="293"/>
      <c r="F28" s="293" t="s">
        <v>1054</v>
      </c>
      <c r="G28" s="293"/>
      <c r="H28" s="427">
        <f t="shared" si="0"/>
        <v>0</v>
      </c>
      <c r="I28" s="427">
        <f t="shared" si="1"/>
        <v>12</v>
      </c>
      <c r="J28" s="288"/>
      <c r="K28" s="276"/>
      <c r="L28" s="277"/>
      <c r="M28" s="278"/>
      <c r="N28" s="391"/>
      <c r="O28" s="545"/>
      <c r="P28" s="279"/>
      <c r="Q28" s="280">
        <v>12</v>
      </c>
      <c r="R28" s="195"/>
      <c r="S28" s="195"/>
      <c r="T28" s="195"/>
      <c r="U28" s="195"/>
      <c r="V28" s="195"/>
      <c r="W28" s="195"/>
      <c r="X28" s="553"/>
      <c r="Y28" s="568"/>
      <c r="Z28" s="592"/>
      <c r="AA28" s="281"/>
      <c r="AB28" s="282"/>
      <c r="AC28" s="669">
        <v>12</v>
      </c>
      <c r="AD28" s="282"/>
      <c r="AE28" s="282"/>
      <c r="AF28" s="282"/>
    </row>
    <row r="29" spans="1:32" ht="18.75" customHeight="1">
      <c r="A29" s="581">
        <v>42171</v>
      </c>
      <c r="B29" s="283" t="s">
        <v>769</v>
      </c>
      <c r="C29" s="271" t="s">
        <v>739</v>
      </c>
      <c r="D29" s="272" t="s">
        <v>770</v>
      </c>
      <c r="E29" s="293"/>
      <c r="F29" s="273" t="s">
        <v>1054</v>
      </c>
      <c r="G29" s="293"/>
      <c r="H29" s="427">
        <f t="shared" si="0"/>
        <v>0</v>
      </c>
      <c r="I29" s="427">
        <f t="shared" si="1"/>
        <v>24.8</v>
      </c>
      <c r="J29" s="275"/>
      <c r="K29" s="276"/>
      <c r="L29" s="277"/>
      <c r="M29" s="278"/>
      <c r="N29" s="391"/>
      <c r="O29" s="545"/>
      <c r="P29" s="279"/>
      <c r="Q29" s="280">
        <v>24.8</v>
      </c>
      <c r="R29" s="195"/>
      <c r="S29" s="195"/>
      <c r="T29" s="195"/>
      <c r="U29" s="195"/>
      <c r="V29" s="195"/>
      <c r="W29" s="195"/>
      <c r="X29" s="553"/>
      <c r="Y29" s="568"/>
      <c r="Z29" s="569"/>
      <c r="AA29" s="281"/>
      <c r="AB29" s="282"/>
      <c r="AC29" s="669">
        <v>24.8</v>
      </c>
      <c r="AD29" s="282"/>
      <c r="AE29" s="282"/>
      <c r="AF29" s="282"/>
    </row>
    <row r="30" spans="1:32" ht="18.75" customHeight="1">
      <c r="A30" s="581">
        <v>42172</v>
      </c>
      <c r="B30" s="283" t="s">
        <v>771</v>
      </c>
      <c r="C30" s="271" t="s">
        <v>732</v>
      </c>
      <c r="D30" s="272" t="s">
        <v>772</v>
      </c>
      <c r="E30" s="293"/>
      <c r="F30" s="273" t="s">
        <v>1054</v>
      </c>
      <c r="G30" s="293"/>
      <c r="H30" s="427">
        <f t="shared" si="0"/>
        <v>0</v>
      </c>
      <c r="I30" s="427">
        <f t="shared" si="1"/>
        <v>12</v>
      </c>
      <c r="J30" s="275"/>
      <c r="K30" s="276"/>
      <c r="L30" s="277"/>
      <c r="M30" s="278"/>
      <c r="N30" s="391"/>
      <c r="O30" s="545"/>
      <c r="P30" s="279"/>
      <c r="Q30" s="280">
        <v>12</v>
      </c>
      <c r="R30" s="195"/>
      <c r="S30" s="195"/>
      <c r="T30" s="195"/>
      <c r="U30" s="195"/>
      <c r="V30" s="195"/>
      <c r="W30" s="195"/>
      <c r="X30" s="553"/>
      <c r="Y30" s="568"/>
      <c r="Z30" s="569"/>
      <c r="AA30" s="281"/>
      <c r="AB30" s="282"/>
      <c r="AC30" s="669">
        <v>12</v>
      </c>
      <c r="AD30" s="282"/>
      <c r="AE30" s="282"/>
      <c r="AF30" s="282"/>
    </row>
    <row r="31" spans="1:32" ht="18.75" customHeight="1">
      <c r="A31" s="581">
        <v>42174</v>
      </c>
      <c r="B31" s="283" t="s">
        <v>773</v>
      </c>
      <c r="C31" s="286" t="s">
        <v>732</v>
      </c>
      <c r="D31" s="287" t="s">
        <v>774</v>
      </c>
      <c r="E31" s="293"/>
      <c r="F31" s="293" t="s">
        <v>1054</v>
      </c>
      <c r="G31" s="293"/>
      <c r="H31" s="427">
        <f t="shared" si="0"/>
        <v>0</v>
      </c>
      <c r="I31" s="427">
        <f t="shared" si="1"/>
        <v>12</v>
      </c>
      <c r="J31" s="275"/>
      <c r="K31" s="276"/>
      <c r="L31" s="277"/>
      <c r="M31" s="278"/>
      <c r="N31" s="391"/>
      <c r="O31" s="545"/>
      <c r="P31" s="279"/>
      <c r="Q31" s="280">
        <v>12</v>
      </c>
      <c r="R31" s="195"/>
      <c r="S31" s="195"/>
      <c r="T31" s="195"/>
      <c r="U31" s="195"/>
      <c r="V31" s="195"/>
      <c r="W31" s="195"/>
      <c r="X31" s="553"/>
      <c r="Y31" s="568"/>
      <c r="Z31" s="592"/>
      <c r="AA31" s="281"/>
      <c r="AB31" s="282"/>
      <c r="AC31" s="669">
        <v>12</v>
      </c>
      <c r="AD31" s="282"/>
      <c r="AE31" s="282"/>
      <c r="AF31" s="282"/>
    </row>
    <row r="32" spans="1:32" ht="18.75" customHeight="1">
      <c r="A32" s="581">
        <v>42175</v>
      </c>
      <c r="B32" s="283" t="s">
        <v>775</v>
      </c>
      <c r="C32" s="286" t="s">
        <v>752</v>
      </c>
      <c r="D32" s="287" t="s">
        <v>776</v>
      </c>
      <c r="E32" s="293"/>
      <c r="F32" s="293" t="s">
        <v>1054</v>
      </c>
      <c r="G32" s="293"/>
      <c r="H32" s="427">
        <f t="shared" si="0"/>
        <v>0</v>
      </c>
      <c r="I32" s="427">
        <f t="shared" si="1"/>
        <v>10</v>
      </c>
      <c r="J32" s="288"/>
      <c r="K32" s="276"/>
      <c r="L32" s="277"/>
      <c r="M32" s="278"/>
      <c r="N32" s="391"/>
      <c r="O32" s="545"/>
      <c r="P32" s="279"/>
      <c r="Q32" s="280">
        <v>10</v>
      </c>
      <c r="R32" s="195"/>
      <c r="S32" s="195"/>
      <c r="T32" s="195"/>
      <c r="U32" s="195"/>
      <c r="V32" s="195"/>
      <c r="W32" s="195"/>
      <c r="X32" s="553"/>
      <c r="Y32" s="568"/>
      <c r="Z32" s="592"/>
      <c r="AA32" s="281"/>
      <c r="AB32" s="282"/>
      <c r="AC32" s="669">
        <v>10</v>
      </c>
      <c r="AD32" s="282"/>
      <c r="AE32" s="282"/>
      <c r="AF32" s="282"/>
    </row>
    <row r="33" spans="1:32" ht="18.75" customHeight="1">
      <c r="A33" s="581">
        <v>42175</v>
      </c>
      <c r="B33" s="283" t="s">
        <v>777</v>
      </c>
      <c r="C33" s="271" t="s">
        <v>752</v>
      </c>
      <c r="D33" s="272" t="s">
        <v>778</v>
      </c>
      <c r="E33" s="293"/>
      <c r="F33" s="273" t="s">
        <v>1054</v>
      </c>
      <c r="G33" s="293"/>
      <c r="H33" s="427">
        <f t="shared" si="0"/>
        <v>0</v>
      </c>
      <c r="I33" s="427">
        <f t="shared" si="1"/>
        <v>15</v>
      </c>
      <c r="J33" s="275"/>
      <c r="K33" s="276"/>
      <c r="L33" s="277"/>
      <c r="M33" s="278"/>
      <c r="N33" s="391"/>
      <c r="O33" s="545"/>
      <c r="P33" s="279"/>
      <c r="Q33" s="280">
        <v>15</v>
      </c>
      <c r="R33" s="195"/>
      <c r="S33" s="195"/>
      <c r="T33" s="195"/>
      <c r="U33" s="195"/>
      <c r="V33" s="195"/>
      <c r="W33" s="195"/>
      <c r="X33" s="553"/>
      <c r="Y33" s="568"/>
      <c r="Z33" s="569"/>
      <c r="AA33" s="281"/>
      <c r="AB33" s="282"/>
      <c r="AC33" s="669">
        <v>15</v>
      </c>
      <c r="AD33" s="282"/>
      <c r="AE33" s="282"/>
      <c r="AF33" s="282"/>
    </row>
    <row r="34" spans="1:32" ht="18.75" customHeight="1">
      <c r="A34" s="581">
        <v>42176</v>
      </c>
      <c r="B34" s="283" t="s">
        <v>779</v>
      </c>
      <c r="C34" s="271" t="s">
        <v>739</v>
      </c>
      <c r="D34" s="272" t="s">
        <v>780</v>
      </c>
      <c r="E34" s="293"/>
      <c r="F34" s="273" t="s">
        <v>1054</v>
      </c>
      <c r="G34" s="293"/>
      <c r="H34" s="427">
        <f t="shared" si="0"/>
        <v>0</v>
      </c>
      <c r="I34" s="427">
        <f t="shared" si="1"/>
        <v>24.8</v>
      </c>
      <c r="J34" s="275"/>
      <c r="K34" s="276"/>
      <c r="L34" s="277"/>
      <c r="M34" s="278"/>
      <c r="N34" s="391"/>
      <c r="O34" s="545"/>
      <c r="P34" s="279"/>
      <c r="Q34" s="280">
        <v>24.8</v>
      </c>
      <c r="R34" s="195"/>
      <c r="S34" s="195"/>
      <c r="T34" s="195"/>
      <c r="U34" s="195"/>
      <c r="V34" s="195"/>
      <c r="W34" s="195"/>
      <c r="X34" s="553"/>
      <c r="Y34" s="568"/>
      <c r="Z34" s="569"/>
      <c r="AA34" s="281"/>
      <c r="AB34" s="282"/>
      <c r="AC34" s="669">
        <v>24.8</v>
      </c>
      <c r="AD34" s="282"/>
      <c r="AE34" s="282"/>
      <c r="AF34" s="282"/>
    </row>
    <row r="35" spans="1:32" ht="18.75" customHeight="1">
      <c r="A35" s="581">
        <v>42177</v>
      </c>
      <c r="B35" s="283" t="s">
        <v>781</v>
      </c>
      <c r="C35" s="286" t="s">
        <v>920</v>
      </c>
      <c r="D35" s="287"/>
      <c r="E35" s="293"/>
      <c r="F35" s="293" t="s">
        <v>1054</v>
      </c>
      <c r="G35" s="293"/>
      <c r="H35" s="427">
        <f t="shared" si="0"/>
        <v>0</v>
      </c>
      <c r="I35" s="427">
        <f t="shared" si="1"/>
        <v>534</v>
      </c>
      <c r="J35" s="288"/>
      <c r="K35" s="276"/>
      <c r="L35" s="277"/>
      <c r="M35" s="278"/>
      <c r="N35" s="391"/>
      <c r="O35" s="545"/>
      <c r="P35" s="279"/>
      <c r="Q35" s="280">
        <v>534</v>
      </c>
      <c r="R35" s="195"/>
      <c r="S35" s="195"/>
      <c r="T35" s="195"/>
      <c r="U35" s="195"/>
      <c r="V35" s="195"/>
      <c r="W35" s="195"/>
      <c r="X35" s="553"/>
      <c r="Y35" s="568"/>
      <c r="Z35" s="592"/>
      <c r="AA35" s="281"/>
      <c r="AB35" s="282">
        <v>534</v>
      </c>
      <c r="AC35" s="669"/>
      <c r="AD35" s="282"/>
      <c r="AE35" s="282"/>
      <c r="AF35" s="282"/>
    </row>
    <row r="36" spans="1:32" ht="18.75" customHeight="1">
      <c r="A36" s="581">
        <v>42179</v>
      </c>
      <c r="B36" s="283" t="s">
        <v>570</v>
      </c>
      <c r="C36" s="271" t="s">
        <v>739</v>
      </c>
      <c r="D36" s="272" t="s">
        <v>571</v>
      </c>
      <c r="E36" s="293"/>
      <c r="F36" s="273" t="s">
        <v>1054</v>
      </c>
      <c r="G36" s="293"/>
      <c r="H36" s="427">
        <f t="shared" si="0"/>
        <v>0</v>
      </c>
      <c r="I36" s="427">
        <f t="shared" si="1"/>
        <v>24.8</v>
      </c>
      <c r="J36" s="275"/>
      <c r="K36" s="276"/>
      <c r="L36" s="277"/>
      <c r="M36" s="278"/>
      <c r="N36" s="391"/>
      <c r="O36" s="545"/>
      <c r="P36" s="279"/>
      <c r="Q36" s="280">
        <v>24.8</v>
      </c>
      <c r="R36" s="195"/>
      <c r="S36" s="195"/>
      <c r="T36" s="195"/>
      <c r="U36" s="195"/>
      <c r="V36" s="195"/>
      <c r="W36" s="195"/>
      <c r="X36" s="553"/>
      <c r="Y36" s="568"/>
      <c r="Z36" s="569"/>
      <c r="AA36" s="281"/>
      <c r="AB36" s="282"/>
      <c r="AC36" s="669">
        <v>24.8</v>
      </c>
      <c r="AD36" s="282"/>
      <c r="AE36" s="282"/>
      <c r="AF36" s="282"/>
    </row>
    <row r="37" spans="1:32" s="425" customFormat="1" ht="18.75" customHeight="1">
      <c r="A37" s="581">
        <v>42182</v>
      </c>
      <c r="B37" s="283" t="s">
        <v>760</v>
      </c>
      <c r="C37" s="286" t="s">
        <v>732</v>
      </c>
      <c r="D37" s="287" t="s">
        <v>572</v>
      </c>
      <c r="E37" s="293"/>
      <c r="F37" s="293" t="s">
        <v>1054</v>
      </c>
      <c r="G37" s="293"/>
      <c r="H37" s="427">
        <f t="shared" si="0"/>
        <v>0</v>
      </c>
      <c r="I37" s="427">
        <f t="shared" si="1"/>
        <v>21.6</v>
      </c>
      <c r="J37" s="288"/>
      <c r="K37" s="276"/>
      <c r="L37" s="277"/>
      <c r="M37" s="278"/>
      <c r="N37" s="391"/>
      <c r="O37" s="545"/>
      <c r="P37" s="279"/>
      <c r="Q37" s="280">
        <v>21.6</v>
      </c>
      <c r="R37" s="195"/>
      <c r="S37" s="195"/>
      <c r="T37" s="195"/>
      <c r="U37" s="195"/>
      <c r="V37" s="195"/>
      <c r="W37" s="195"/>
      <c r="X37" s="553"/>
      <c r="Y37" s="568"/>
      <c r="Z37" s="592"/>
      <c r="AA37" s="281"/>
      <c r="AB37" s="282"/>
      <c r="AC37" s="669">
        <v>21.6</v>
      </c>
      <c r="AD37" s="282"/>
      <c r="AE37" s="282"/>
      <c r="AF37" s="282"/>
    </row>
    <row r="38" spans="1:32" ht="18.75" customHeight="1">
      <c r="A38" s="581">
        <v>42182</v>
      </c>
      <c r="B38" s="283"/>
      <c r="C38" s="286" t="s">
        <v>732</v>
      </c>
      <c r="D38" s="287" t="s">
        <v>573</v>
      </c>
      <c r="E38" s="293"/>
      <c r="F38" s="293" t="s">
        <v>1064</v>
      </c>
      <c r="G38" s="293"/>
      <c r="H38" s="427">
        <f t="shared" si="0"/>
        <v>0</v>
      </c>
      <c r="I38" s="427">
        <f t="shared" si="1"/>
        <v>24</v>
      </c>
      <c r="J38" s="275"/>
      <c r="K38" s="276"/>
      <c r="L38" s="277"/>
      <c r="M38" s="278"/>
      <c r="N38" s="391"/>
      <c r="O38" s="545"/>
      <c r="P38" s="279"/>
      <c r="Q38" s="280">
        <v>24</v>
      </c>
      <c r="R38" s="195"/>
      <c r="S38" s="195"/>
      <c r="T38" s="195"/>
      <c r="U38" s="195"/>
      <c r="V38" s="195"/>
      <c r="W38" s="195"/>
      <c r="X38" s="553"/>
      <c r="Y38" s="568"/>
      <c r="Z38" s="592"/>
      <c r="AA38" s="281"/>
      <c r="AB38" s="282"/>
      <c r="AC38" s="669">
        <v>24</v>
      </c>
      <c r="AD38" s="282"/>
      <c r="AE38" s="282"/>
      <c r="AF38" s="282"/>
    </row>
    <row r="39" spans="1:32" ht="18.75" customHeight="1">
      <c r="A39" s="581">
        <v>42183</v>
      </c>
      <c r="B39" s="283" t="s">
        <v>773</v>
      </c>
      <c r="C39" s="271" t="s">
        <v>732</v>
      </c>
      <c r="D39" s="272" t="s">
        <v>574</v>
      </c>
      <c r="E39" s="293"/>
      <c r="F39" s="273" t="s">
        <v>1064</v>
      </c>
      <c r="G39" s="293"/>
      <c r="H39" s="427">
        <f t="shared" si="0"/>
        <v>0</v>
      </c>
      <c r="I39" s="427">
        <f t="shared" si="1"/>
        <v>12</v>
      </c>
      <c r="J39" s="275"/>
      <c r="K39" s="276"/>
      <c r="L39" s="277"/>
      <c r="M39" s="278"/>
      <c r="N39" s="391"/>
      <c r="O39" s="545"/>
      <c r="P39" s="279"/>
      <c r="Q39" s="280">
        <v>12</v>
      </c>
      <c r="R39" s="195"/>
      <c r="S39" s="195"/>
      <c r="T39" s="195"/>
      <c r="U39" s="195"/>
      <c r="V39" s="195"/>
      <c r="W39" s="195"/>
      <c r="X39" s="553"/>
      <c r="Y39" s="568"/>
      <c r="Z39" s="569"/>
      <c r="AA39" s="281"/>
      <c r="AB39" s="282"/>
      <c r="AC39" s="669">
        <v>12</v>
      </c>
      <c r="AD39" s="282"/>
      <c r="AE39" s="282"/>
      <c r="AF39" s="282"/>
    </row>
    <row r="40" spans="1:32" ht="18.75" customHeight="1">
      <c r="A40" s="581">
        <v>42183</v>
      </c>
      <c r="B40" s="283" t="s">
        <v>575</v>
      </c>
      <c r="C40" s="665" t="s">
        <v>732</v>
      </c>
      <c r="D40" s="297" t="s">
        <v>576</v>
      </c>
      <c r="E40" s="293"/>
      <c r="F40" s="293" t="s">
        <v>1054</v>
      </c>
      <c r="G40" s="293"/>
      <c r="H40" s="427">
        <f t="shared" si="0"/>
        <v>0</v>
      </c>
      <c r="I40" s="427">
        <f t="shared" si="1"/>
        <v>18</v>
      </c>
      <c r="J40" s="288"/>
      <c r="K40" s="276"/>
      <c r="L40" s="277"/>
      <c r="M40" s="278"/>
      <c r="N40" s="391"/>
      <c r="O40" s="545"/>
      <c r="P40" s="279"/>
      <c r="Q40" s="280">
        <v>18</v>
      </c>
      <c r="R40" s="195"/>
      <c r="S40" s="195"/>
      <c r="T40" s="195"/>
      <c r="U40" s="195"/>
      <c r="V40" s="195"/>
      <c r="W40" s="195"/>
      <c r="X40" s="553"/>
      <c r="Y40" s="568"/>
      <c r="Z40" s="569"/>
      <c r="AA40" s="281"/>
      <c r="AB40" s="282"/>
      <c r="AC40" s="669">
        <v>18</v>
      </c>
      <c r="AD40" s="282"/>
      <c r="AE40" s="282"/>
      <c r="AF40" s="282"/>
    </row>
    <row r="41" spans="1:32" ht="18.75" customHeight="1">
      <c r="A41" s="581">
        <v>42183</v>
      </c>
      <c r="B41" s="666" t="s">
        <v>577</v>
      </c>
      <c r="C41" s="286" t="s">
        <v>732</v>
      </c>
      <c r="D41" s="287" t="s">
        <v>788</v>
      </c>
      <c r="E41" s="293"/>
      <c r="F41" s="293" t="s">
        <v>1054</v>
      </c>
      <c r="G41" s="293"/>
      <c r="H41" s="427">
        <f t="shared" si="0"/>
        <v>0</v>
      </c>
      <c r="I41" s="427">
        <f t="shared" si="1"/>
        <v>6</v>
      </c>
      <c r="J41" s="288"/>
      <c r="K41" s="276"/>
      <c r="L41" s="277"/>
      <c r="M41" s="278"/>
      <c r="N41" s="391"/>
      <c r="O41" s="545"/>
      <c r="P41" s="279"/>
      <c r="Q41" s="280">
        <v>6</v>
      </c>
      <c r="R41" s="195"/>
      <c r="S41" s="195"/>
      <c r="T41" s="195"/>
      <c r="U41" s="195"/>
      <c r="V41" s="195"/>
      <c r="W41" s="195"/>
      <c r="X41" s="553"/>
      <c r="Y41" s="568"/>
      <c r="Z41" s="569"/>
      <c r="AA41" s="281"/>
      <c r="AB41" s="282"/>
      <c r="AC41" s="669">
        <v>6</v>
      </c>
      <c r="AD41" s="282"/>
      <c r="AE41" s="282"/>
      <c r="AF41" s="282"/>
    </row>
    <row r="42" spans="1:32" ht="18.75" customHeight="1">
      <c r="A42" s="581">
        <v>42183</v>
      </c>
      <c r="B42" s="666" t="s">
        <v>789</v>
      </c>
      <c r="C42" s="286" t="s">
        <v>732</v>
      </c>
      <c r="D42" s="287" t="s">
        <v>790</v>
      </c>
      <c r="E42" s="293"/>
      <c r="F42" s="293" t="s">
        <v>1054</v>
      </c>
      <c r="G42" s="293"/>
      <c r="H42" s="427">
        <f t="shared" si="0"/>
        <v>0</v>
      </c>
      <c r="I42" s="427">
        <f t="shared" si="1"/>
        <v>3</v>
      </c>
      <c r="J42" s="275"/>
      <c r="K42" s="276"/>
      <c r="L42" s="277"/>
      <c r="M42" s="278"/>
      <c r="N42" s="391"/>
      <c r="O42" s="545"/>
      <c r="P42" s="279"/>
      <c r="Q42" s="280">
        <v>3</v>
      </c>
      <c r="R42" s="195"/>
      <c r="S42" s="195"/>
      <c r="T42" s="195"/>
      <c r="U42" s="195"/>
      <c r="V42" s="195"/>
      <c r="W42" s="195"/>
      <c r="X42" s="553"/>
      <c r="Y42" s="568"/>
      <c r="Z42" s="569"/>
      <c r="AA42" s="281"/>
      <c r="AB42" s="282"/>
      <c r="AC42" s="669">
        <v>3</v>
      </c>
      <c r="AD42" s="282"/>
      <c r="AE42" s="282"/>
      <c r="AF42" s="282"/>
    </row>
    <row r="43" spans="1:32" ht="18.75" customHeight="1">
      <c r="A43" s="270">
        <v>42183</v>
      </c>
      <c r="B43" s="283"/>
      <c r="C43" s="271" t="s">
        <v>732</v>
      </c>
      <c r="D43" s="272" t="s">
        <v>791</v>
      </c>
      <c r="E43" s="293"/>
      <c r="F43" s="293" t="s">
        <v>1054</v>
      </c>
      <c r="G43" s="293"/>
      <c r="H43" s="427">
        <f t="shared" si="0"/>
        <v>0</v>
      </c>
      <c r="I43" s="427">
        <f t="shared" si="1"/>
        <v>12</v>
      </c>
      <c r="J43" s="275"/>
      <c r="K43" s="276"/>
      <c r="L43" s="277"/>
      <c r="M43" s="278"/>
      <c r="N43" s="391"/>
      <c r="O43" s="545"/>
      <c r="P43" s="279"/>
      <c r="Q43" s="280">
        <v>12</v>
      </c>
      <c r="R43" s="195"/>
      <c r="S43" s="195"/>
      <c r="T43" s="195"/>
      <c r="U43" s="195"/>
      <c r="V43" s="195"/>
      <c r="W43" s="195"/>
      <c r="X43" s="553"/>
      <c r="Y43" s="568"/>
      <c r="Z43" s="569"/>
      <c r="AA43" s="281"/>
      <c r="AB43" s="282"/>
      <c r="AC43" s="669">
        <v>12</v>
      </c>
      <c r="AD43" s="282"/>
      <c r="AE43" s="282"/>
      <c r="AF43" s="282"/>
    </row>
    <row r="44" spans="1:32" s="425" customFormat="1" ht="18.75" customHeight="1">
      <c r="A44" s="607">
        <v>42184</v>
      </c>
      <c r="B44" s="666" t="s">
        <v>792</v>
      </c>
      <c r="C44" s="286"/>
      <c r="D44" s="287"/>
      <c r="E44" s="293"/>
      <c r="F44" s="293" t="s">
        <v>1054</v>
      </c>
      <c r="G44" s="293"/>
      <c r="H44" s="427">
        <f t="shared" si="0"/>
        <v>0</v>
      </c>
      <c r="I44" s="427">
        <f t="shared" si="1"/>
        <v>286</v>
      </c>
      <c r="J44" s="275"/>
      <c r="K44" s="276"/>
      <c r="L44" s="277"/>
      <c r="M44" s="278"/>
      <c r="N44" s="391"/>
      <c r="O44" s="545"/>
      <c r="P44" s="279"/>
      <c r="Q44" s="280">
        <v>286</v>
      </c>
      <c r="R44" s="195"/>
      <c r="S44" s="195"/>
      <c r="T44" s="195"/>
      <c r="U44" s="195"/>
      <c r="V44" s="195"/>
      <c r="W44" s="195"/>
      <c r="X44" s="553"/>
      <c r="Y44" s="568"/>
      <c r="Z44" s="569"/>
      <c r="AA44" s="281"/>
      <c r="AB44" s="282"/>
      <c r="AC44" s="669"/>
      <c r="AD44" s="282"/>
      <c r="AE44" s="282"/>
      <c r="AF44" s="282">
        <v>286</v>
      </c>
    </row>
    <row r="45" spans="1:32" s="425" customFormat="1" ht="18.75" customHeight="1">
      <c r="A45" s="581">
        <v>42184</v>
      </c>
      <c r="B45" s="620" t="s">
        <v>582</v>
      </c>
      <c r="C45" s="271" t="s">
        <v>583</v>
      </c>
      <c r="D45" s="272"/>
      <c r="E45" s="293"/>
      <c r="F45" s="293" t="s">
        <v>1054</v>
      </c>
      <c r="G45" s="293"/>
      <c r="H45" s="427">
        <f t="shared" si="0"/>
        <v>0</v>
      </c>
      <c r="I45" s="427">
        <f t="shared" si="1"/>
        <v>204</v>
      </c>
      <c r="J45" s="275"/>
      <c r="K45" s="276"/>
      <c r="L45" s="277"/>
      <c r="M45" s="278"/>
      <c r="N45" s="391"/>
      <c r="O45" s="545"/>
      <c r="P45" s="279"/>
      <c r="Q45" s="280">
        <v>204</v>
      </c>
      <c r="R45" s="195"/>
      <c r="S45" s="195"/>
      <c r="T45" s="195"/>
      <c r="U45" s="195"/>
      <c r="V45" s="195"/>
      <c r="W45" s="195"/>
      <c r="X45" s="553"/>
      <c r="Y45" s="568"/>
      <c r="Z45" s="569"/>
      <c r="AA45" s="281"/>
      <c r="AB45" s="282"/>
      <c r="AC45" s="669"/>
      <c r="AD45" s="282"/>
      <c r="AE45" s="282"/>
      <c r="AF45" s="282">
        <v>204</v>
      </c>
    </row>
    <row r="46" spans="1:32" ht="18.75" customHeight="1">
      <c r="A46" s="270">
        <v>42184</v>
      </c>
      <c r="B46" s="283" t="s">
        <v>751</v>
      </c>
      <c r="C46" s="271" t="s">
        <v>752</v>
      </c>
      <c r="D46" s="272" t="s">
        <v>584</v>
      </c>
      <c r="E46" s="293"/>
      <c r="F46" s="273" t="s">
        <v>1064</v>
      </c>
      <c r="G46" s="293"/>
      <c r="H46" s="427">
        <f t="shared" si="0"/>
        <v>0</v>
      </c>
      <c r="I46" s="427">
        <f t="shared" si="1"/>
        <v>10</v>
      </c>
      <c r="J46" s="275"/>
      <c r="K46" s="276"/>
      <c r="L46" s="277"/>
      <c r="M46" s="278"/>
      <c r="N46" s="391"/>
      <c r="O46" s="545"/>
      <c r="P46" s="279"/>
      <c r="Q46" s="280">
        <v>10</v>
      </c>
      <c r="R46" s="195"/>
      <c r="S46" s="195"/>
      <c r="T46" s="195"/>
      <c r="U46" s="195"/>
      <c r="V46" s="195"/>
      <c r="W46" s="195"/>
      <c r="X46" s="553"/>
      <c r="Y46" s="568"/>
      <c r="Z46" s="569"/>
      <c r="AA46" s="281"/>
      <c r="AB46" s="282"/>
      <c r="AC46" s="669">
        <v>10</v>
      </c>
      <c r="AD46" s="282"/>
      <c r="AE46" s="282"/>
      <c r="AF46" s="282"/>
    </row>
    <row r="47" spans="1:32" ht="18.75" customHeight="1">
      <c r="A47" s="270">
        <v>42184</v>
      </c>
      <c r="B47" s="283" t="s">
        <v>794</v>
      </c>
      <c r="C47" s="271" t="s">
        <v>739</v>
      </c>
      <c r="D47" s="272" t="s">
        <v>795</v>
      </c>
      <c r="E47" s="293"/>
      <c r="F47" s="273" t="s">
        <v>1054</v>
      </c>
      <c r="G47" s="293"/>
      <c r="H47" s="427">
        <f t="shared" si="0"/>
        <v>0</v>
      </c>
      <c r="I47" s="427">
        <f t="shared" si="1"/>
        <v>24.8</v>
      </c>
      <c r="J47" s="275"/>
      <c r="K47" s="276"/>
      <c r="L47" s="277"/>
      <c r="M47" s="278"/>
      <c r="N47" s="391"/>
      <c r="O47" s="545"/>
      <c r="P47" s="279"/>
      <c r="Q47" s="280">
        <v>24.8</v>
      </c>
      <c r="R47" s="195"/>
      <c r="S47" s="195"/>
      <c r="T47" s="195"/>
      <c r="U47" s="195"/>
      <c r="V47" s="195"/>
      <c r="W47" s="195"/>
      <c r="X47" s="553"/>
      <c r="Y47" s="568"/>
      <c r="Z47" s="569"/>
      <c r="AA47" s="281"/>
      <c r="AB47" s="282"/>
      <c r="AC47" s="669">
        <v>24.8</v>
      </c>
      <c r="AD47" s="282"/>
      <c r="AE47" s="282"/>
      <c r="AF47" s="282"/>
    </row>
    <row r="48" spans="1:32" ht="18.75" customHeight="1">
      <c r="A48" s="270">
        <v>42185</v>
      </c>
      <c r="B48" s="283" t="s">
        <v>796</v>
      </c>
      <c r="C48" s="271" t="s">
        <v>732</v>
      </c>
      <c r="D48" s="272" t="s">
        <v>797</v>
      </c>
      <c r="E48" s="293"/>
      <c r="F48" s="273" t="s">
        <v>1054</v>
      </c>
      <c r="G48" s="293"/>
      <c r="H48" s="427">
        <f t="shared" si="0"/>
        <v>0</v>
      </c>
      <c r="I48" s="427">
        <f t="shared" si="1"/>
        <v>24</v>
      </c>
      <c r="J48" s="275"/>
      <c r="K48" s="276"/>
      <c r="L48" s="277"/>
      <c r="M48" s="278"/>
      <c r="N48" s="391"/>
      <c r="O48" s="545"/>
      <c r="P48" s="279"/>
      <c r="Q48" s="280">
        <v>24</v>
      </c>
      <c r="R48" s="195"/>
      <c r="S48" s="195"/>
      <c r="T48" s="195"/>
      <c r="U48" s="195"/>
      <c r="V48" s="195"/>
      <c r="W48" s="195"/>
      <c r="X48" s="553"/>
      <c r="Y48" s="568"/>
      <c r="Z48" s="569"/>
      <c r="AA48" s="281"/>
      <c r="AB48" s="282"/>
      <c r="AC48" s="669">
        <v>24</v>
      </c>
      <c r="AD48" s="282"/>
      <c r="AE48" s="282"/>
      <c r="AF48" s="282"/>
    </row>
    <row r="49" spans="1:32" ht="18.75" customHeight="1">
      <c r="A49" s="270">
        <v>42185</v>
      </c>
      <c r="B49" s="620" t="s">
        <v>798</v>
      </c>
      <c r="C49" s="271" t="s">
        <v>732</v>
      </c>
      <c r="D49" s="272" t="s">
        <v>799</v>
      </c>
      <c r="E49" s="293"/>
      <c r="F49" s="293" t="s">
        <v>1064</v>
      </c>
      <c r="G49" s="293"/>
      <c r="H49" s="427">
        <f t="shared" si="0"/>
        <v>0</v>
      </c>
      <c r="I49" s="427">
        <f t="shared" si="1"/>
        <v>12</v>
      </c>
      <c r="J49" s="275"/>
      <c r="K49" s="276"/>
      <c r="L49" s="277"/>
      <c r="M49" s="278"/>
      <c r="N49" s="391"/>
      <c r="O49" s="545"/>
      <c r="P49" s="279"/>
      <c r="Q49" s="280">
        <v>12</v>
      </c>
      <c r="R49" s="195"/>
      <c r="S49" s="195"/>
      <c r="T49" s="195"/>
      <c r="U49" s="195"/>
      <c r="V49" s="195"/>
      <c r="W49" s="195"/>
      <c r="X49" s="553"/>
      <c r="Y49" s="568"/>
      <c r="Z49" s="569"/>
      <c r="AA49" s="281"/>
      <c r="AB49" s="282"/>
      <c r="AC49" s="669">
        <v>12</v>
      </c>
      <c r="AD49" s="282"/>
      <c r="AE49" s="282"/>
      <c r="AF49" s="282"/>
    </row>
    <row r="50" spans="1:32" ht="18.75" customHeight="1">
      <c r="A50" s="270">
        <v>42185</v>
      </c>
      <c r="B50" s="283" t="s">
        <v>591</v>
      </c>
      <c r="C50" s="271" t="s">
        <v>732</v>
      </c>
      <c r="D50" s="272" t="s">
        <v>592</v>
      </c>
      <c r="E50" s="293"/>
      <c r="F50" s="273" t="s">
        <v>1054</v>
      </c>
      <c r="G50" s="293"/>
      <c r="H50" s="427">
        <f t="shared" si="0"/>
        <v>0</v>
      </c>
      <c r="I50" s="427">
        <f t="shared" si="1"/>
        <v>10.8</v>
      </c>
      <c r="J50" s="275"/>
      <c r="K50" s="276"/>
      <c r="L50" s="277"/>
      <c r="M50" s="278"/>
      <c r="N50" s="391"/>
      <c r="O50" s="545"/>
      <c r="P50" s="279"/>
      <c r="Q50" s="280">
        <v>10.8</v>
      </c>
      <c r="R50" s="195"/>
      <c r="S50" s="195"/>
      <c r="T50" s="195"/>
      <c r="U50" s="195"/>
      <c r="V50" s="195"/>
      <c r="W50" s="195"/>
      <c r="X50" s="553"/>
      <c r="Y50" s="568"/>
      <c r="Z50" s="569"/>
      <c r="AA50" s="281"/>
      <c r="AB50" s="282"/>
      <c r="AC50" s="669">
        <v>10.8</v>
      </c>
      <c r="AD50" s="282"/>
      <c r="AE50" s="282"/>
      <c r="AF50" s="282"/>
    </row>
    <row r="51" spans="1:32" ht="18.75" customHeight="1">
      <c r="A51" s="270">
        <v>42156</v>
      </c>
      <c r="B51" s="283" t="s">
        <v>593</v>
      </c>
      <c r="C51" s="271" t="s">
        <v>594</v>
      </c>
      <c r="D51" s="272" t="s">
        <v>595</v>
      </c>
      <c r="E51" s="293" t="s">
        <v>1054</v>
      </c>
      <c r="F51" s="273"/>
      <c r="G51" s="293"/>
      <c r="H51" s="427">
        <f t="shared" si="0"/>
        <v>44.2</v>
      </c>
      <c r="I51" s="427">
        <f t="shared" si="1"/>
        <v>0</v>
      </c>
      <c r="J51" s="275">
        <v>44.2</v>
      </c>
      <c r="K51" s="276"/>
      <c r="L51" s="277"/>
      <c r="M51" s="278"/>
      <c r="N51" s="391"/>
      <c r="O51" s="545"/>
      <c r="P51" s="279"/>
      <c r="Q51" s="280"/>
      <c r="R51" s="195"/>
      <c r="S51" s="195"/>
      <c r="T51" s="195"/>
      <c r="U51" s="195"/>
      <c r="V51" s="195"/>
      <c r="W51" s="195"/>
      <c r="X51" s="553">
        <v>44.2</v>
      </c>
      <c r="Y51" s="568"/>
      <c r="Z51" s="569"/>
      <c r="AA51" s="281"/>
      <c r="AB51" s="282"/>
      <c r="AC51" s="669"/>
      <c r="AD51" s="282"/>
      <c r="AE51" s="282"/>
      <c r="AF51" s="282"/>
    </row>
    <row r="52" spans="1:32" ht="18.75" customHeight="1">
      <c r="A52" s="270">
        <v>42156</v>
      </c>
      <c r="B52" s="283" t="s">
        <v>680</v>
      </c>
      <c r="C52" s="271" t="s">
        <v>596</v>
      </c>
      <c r="D52" s="272" t="s">
        <v>597</v>
      </c>
      <c r="E52" s="293" t="s">
        <v>1054</v>
      </c>
      <c r="F52" s="273"/>
      <c r="G52" s="293"/>
      <c r="H52" s="427">
        <f t="shared" si="0"/>
        <v>61.7</v>
      </c>
      <c r="I52" s="427">
        <f t="shared" si="1"/>
        <v>0</v>
      </c>
      <c r="J52" s="275">
        <v>61.7</v>
      </c>
      <c r="K52" s="276"/>
      <c r="L52" s="277"/>
      <c r="M52" s="278"/>
      <c r="N52" s="391"/>
      <c r="O52" s="545"/>
      <c r="P52" s="279"/>
      <c r="Q52" s="280"/>
      <c r="R52" s="195"/>
      <c r="S52" s="195"/>
      <c r="T52" s="195"/>
      <c r="U52" s="195"/>
      <c r="V52" s="195">
        <v>61.7</v>
      </c>
      <c r="W52" s="195"/>
      <c r="X52" s="553"/>
      <c r="Y52" s="568"/>
      <c r="Z52" s="569"/>
      <c r="AA52" s="281"/>
      <c r="AB52" s="282"/>
      <c r="AC52" s="669"/>
      <c r="AD52" s="282"/>
      <c r="AE52" s="282"/>
      <c r="AF52" s="282"/>
    </row>
    <row r="53" spans="1:32" ht="18.75" customHeight="1">
      <c r="A53" s="270">
        <v>42157</v>
      </c>
      <c r="B53" s="283" t="s">
        <v>967</v>
      </c>
      <c r="C53" s="271" t="s">
        <v>598</v>
      </c>
      <c r="D53" s="272" t="s">
        <v>882</v>
      </c>
      <c r="E53" s="293"/>
      <c r="F53" s="273"/>
      <c r="G53" s="293" t="s">
        <v>1054</v>
      </c>
      <c r="H53" s="427">
        <f t="shared" si="0"/>
        <v>309.79</v>
      </c>
      <c r="I53" s="427">
        <f t="shared" si="1"/>
        <v>0</v>
      </c>
      <c r="J53" s="275">
        <v>309.79</v>
      </c>
      <c r="K53" s="276"/>
      <c r="L53" s="277"/>
      <c r="M53" s="278"/>
      <c r="N53" s="391"/>
      <c r="O53" s="545"/>
      <c r="P53" s="279"/>
      <c r="Q53" s="280"/>
      <c r="R53" s="195"/>
      <c r="S53" s="195"/>
      <c r="T53" s="195"/>
      <c r="U53" s="195"/>
      <c r="V53" s="195"/>
      <c r="W53" s="195">
        <v>309.79</v>
      </c>
      <c r="X53" s="553"/>
      <c r="Y53" s="568"/>
      <c r="Z53" s="569"/>
      <c r="AA53" s="281"/>
      <c r="AB53" s="282"/>
      <c r="AC53" s="669"/>
      <c r="AD53" s="282"/>
      <c r="AE53" s="282"/>
      <c r="AF53" s="282"/>
    </row>
    <row r="54" spans="1:32" ht="18.75" customHeight="1">
      <c r="A54" s="270">
        <v>42157</v>
      </c>
      <c r="B54" s="620" t="s">
        <v>599</v>
      </c>
      <c r="C54" s="271" t="s">
        <v>697</v>
      </c>
      <c r="D54" s="272" t="s">
        <v>600</v>
      </c>
      <c r="E54" s="293" t="s">
        <v>1054</v>
      </c>
      <c r="F54" s="293"/>
      <c r="G54" s="293"/>
      <c r="H54" s="427">
        <f t="shared" si="0"/>
        <v>227.6</v>
      </c>
      <c r="I54" s="427">
        <f t="shared" si="1"/>
        <v>0</v>
      </c>
      <c r="J54" s="275">
        <v>227.6</v>
      </c>
      <c r="K54" s="276"/>
      <c r="L54" s="277"/>
      <c r="M54" s="278"/>
      <c r="N54" s="391"/>
      <c r="O54" s="545"/>
      <c r="P54" s="279"/>
      <c r="Q54" s="280"/>
      <c r="R54" s="195"/>
      <c r="S54" s="195"/>
      <c r="T54" s="195"/>
      <c r="U54" s="195"/>
      <c r="V54" s="195">
        <v>227.6</v>
      </c>
      <c r="W54" s="195"/>
      <c r="X54" s="553"/>
      <c r="Y54" s="568"/>
      <c r="Z54" s="569"/>
      <c r="AA54" s="281"/>
      <c r="AB54" s="282"/>
      <c r="AC54" s="669"/>
      <c r="AD54" s="282"/>
      <c r="AE54" s="282"/>
      <c r="AF54" s="282"/>
    </row>
    <row r="55" spans="1:32" ht="18.75" customHeight="1">
      <c r="A55" s="581">
        <v>42157</v>
      </c>
      <c r="B55" s="605" t="s">
        <v>1051</v>
      </c>
      <c r="C55" s="271" t="s">
        <v>601</v>
      </c>
      <c r="D55" s="272"/>
      <c r="E55" s="293"/>
      <c r="F55" s="293"/>
      <c r="G55" s="293"/>
      <c r="H55" s="427">
        <f t="shared" si="0"/>
        <v>0</v>
      </c>
      <c r="I55" s="427">
        <f t="shared" si="1"/>
        <v>4977.47</v>
      </c>
      <c r="J55" s="275"/>
      <c r="K55" s="276">
        <v>4977.47</v>
      </c>
      <c r="L55" s="277"/>
      <c r="M55" s="278"/>
      <c r="N55" s="391"/>
      <c r="O55" s="545"/>
      <c r="P55" s="279"/>
      <c r="Q55" s="280"/>
      <c r="R55" s="195"/>
      <c r="S55" s="195"/>
      <c r="T55" s="195"/>
      <c r="U55" s="195"/>
      <c r="V55" s="195"/>
      <c r="W55" s="195"/>
      <c r="X55" s="553"/>
      <c r="Y55" s="568"/>
      <c r="Z55" s="569"/>
      <c r="AA55" s="281"/>
      <c r="AB55" s="282">
        <v>4799.47</v>
      </c>
      <c r="AC55" s="669">
        <v>108</v>
      </c>
      <c r="AD55" s="282">
        <v>70</v>
      </c>
      <c r="AE55" s="282"/>
      <c r="AF55" s="282"/>
    </row>
    <row r="56" spans="1:32" ht="18.75" customHeight="1">
      <c r="A56" s="270">
        <v>42157</v>
      </c>
      <c r="B56" s="283" t="s">
        <v>1051</v>
      </c>
      <c r="C56" s="271" t="s">
        <v>785</v>
      </c>
      <c r="D56" s="272" t="s">
        <v>882</v>
      </c>
      <c r="E56" s="293"/>
      <c r="F56" s="293"/>
      <c r="G56" s="293" t="s">
        <v>1054</v>
      </c>
      <c r="H56" s="427">
        <f t="shared" si="0"/>
        <v>15.3</v>
      </c>
      <c r="I56" s="427">
        <f t="shared" si="1"/>
        <v>0</v>
      </c>
      <c r="J56" s="275">
        <v>15.3</v>
      </c>
      <c r="K56" s="276"/>
      <c r="L56" s="277"/>
      <c r="M56" s="278"/>
      <c r="N56" s="391"/>
      <c r="O56" s="545"/>
      <c r="P56" s="279"/>
      <c r="Q56" s="280"/>
      <c r="R56" s="195"/>
      <c r="S56" s="195">
        <v>15.3</v>
      </c>
      <c r="T56" s="195"/>
      <c r="U56" s="195"/>
      <c r="V56" s="195"/>
      <c r="W56" s="195"/>
      <c r="X56" s="553"/>
      <c r="Y56" s="568"/>
      <c r="Z56" s="569"/>
      <c r="AA56" s="281"/>
      <c r="AB56" s="282"/>
      <c r="AC56" s="669"/>
      <c r="AD56" s="282"/>
      <c r="AE56" s="282"/>
      <c r="AF56" s="282"/>
    </row>
    <row r="57" spans="1:32" ht="18.75" customHeight="1">
      <c r="A57" s="270">
        <v>42158</v>
      </c>
      <c r="B57" s="283" t="s">
        <v>986</v>
      </c>
      <c r="C57" s="271" t="s">
        <v>602</v>
      </c>
      <c r="D57" s="272" t="s">
        <v>603</v>
      </c>
      <c r="E57" s="293" t="s">
        <v>1054</v>
      </c>
      <c r="F57" s="273"/>
      <c r="G57" s="293"/>
      <c r="H57" s="427">
        <f t="shared" si="0"/>
        <v>35.49</v>
      </c>
      <c r="I57" s="427">
        <f t="shared" si="1"/>
        <v>0</v>
      </c>
      <c r="J57" s="275">
        <v>35.49</v>
      </c>
      <c r="K57" s="276"/>
      <c r="L57" s="277"/>
      <c r="M57" s="278"/>
      <c r="N57" s="391"/>
      <c r="O57" s="545"/>
      <c r="P57" s="279"/>
      <c r="Q57" s="280"/>
      <c r="R57" s="195"/>
      <c r="S57" s="195"/>
      <c r="T57" s="195"/>
      <c r="U57" s="195"/>
      <c r="V57" s="195"/>
      <c r="W57" s="195"/>
      <c r="X57" s="553">
        <v>35.49</v>
      </c>
      <c r="Y57" s="568"/>
      <c r="Z57" s="569"/>
      <c r="AA57" s="281"/>
      <c r="AB57" s="282"/>
      <c r="AC57" s="669"/>
      <c r="AD57" s="282"/>
      <c r="AE57" s="282"/>
      <c r="AF57" s="282"/>
    </row>
    <row r="58" spans="1:32" ht="18.75" customHeight="1">
      <c r="A58" s="581">
        <v>42158</v>
      </c>
      <c r="B58" s="283" t="s">
        <v>604</v>
      </c>
      <c r="C58" s="271" t="s">
        <v>605</v>
      </c>
      <c r="D58" s="272" t="s">
        <v>606</v>
      </c>
      <c r="E58" s="293" t="s">
        <v>1054</v>
      </c>
      <c r="F58" s="293"/>
      <c r="G58" s="293"/>
      <c r="H58" s="427">
        <f t="shared" si="0"/>
        <v>255</v>
      </c>
      <c r="I58" s="427">
        <f t="shared" si="1"/>
        <v>0</v>
      </c>
      <c r="J58" s="275">
        <v>255</v>
      </c>
      <c r="K58" s="276"/>
      <c r="L58" s="277"/>
      <c r="M58" s="278"/>
      <c r="N58" s="391"/>
      <c r="O58" s="545"/>
      <c r="P58" s="279"/>
      <c r="Q58" s="280"/>
      <c r="R58" s="195"/>
      <c r="S58" s="195"/>
      <c r="T58" s="195">
        <v>255</v>
      </c>
      <c r="U58" s="195"/>
      <c r="V58" s="195"/>
      <c r="W58" s="195"/>
      <c r="X58" s="553"/>
      <c r="Y58" s="568"/>
      <c r="Z58" s="569"/>
      <c r="AA58" s="281"/>
      <c r="AB58" s="282"/>
      <c r="AC58" s="669"/>
      <c r="AD58" s="282"/>
      <c r="AE58" s="282"/>
      <c r="AF58" s="282"/>
    </row>
    <row r="59" spans="1:32" ht="18.75" customHeight="1">
      <c r="A59" s="270">
        <v>42160</v>
      </c>
      <c r="B59" s="283" t="s">
        <v>1055</v>
      </c>
      <c r="C59" s="271" t="s">
        <v>1055</v>
      </c>
      <c r="D59" s="272" t="s">
        <v>882</v>
      </c>
      <c r="E59" s="293"/>
      <c r="F59" s="293"/>
      <c r="G59" s="293" t="s">
        <v>1054</v>
      </c>
      <c r="H59" s="427">
        <f t="shared" si="0"/>
        <v>31.98</v>
      </c>
      <c r="I59" s="427">
        <f t="shared" si="1"/>
        <v>0</v>
      </c>
      <c r="J59" s="275">
        <v>31.98</v>
      </c>
      <c r="K59" s="276"/>
      <c r="L59" s="277"/>
      <c r="M59" s="278"/>
      <c r="N59" s="391"/>
      <c r="O59" s="545"/>
      <c r="P59" s="279"/>
      <c r="Q59" s="280"/>
      <c r="R59" s="195"/>
      <c r="S59" s="195"/>
      <c r="T59" s="195">
        <v>31.98</v>
      </c>
      <c r="U59" s="195"/>
      <c r="V59" s="195"/>
      <c r="W59" s="195"/>
      <c r="X59" s="553"/>
      <c r="Y59" s="568"/>
      <c r="Z59" s="569"/>
      <c r="AA59" s="281"/>
      <c r="AB59" s="282"/>
      <c r="AC59" s="669"/>
      <c r="AD59" s="282"/>
      <c r="AE59" s="282"/>
      <c r="AF59" s="282"/>
    </row>
    <row r="60" spans="1:32" ht="18.75" customHeight="1">
      <c r="A60" s="270">
        <v>42163</v>
      </c>
      <c r="B60" s="283" t="s">
        <v>677</v>
      </c>
      <c r="C60" s="271" t="s">
        <v>607</v>
      </c>
      <c r="D60" s="272" t="s">
        <v>608</v>
      </c>
      <c r="E60" s="293" t="s">
        <v>1054</v>
      </c>
      <c r="F60" s="273"/>
      <c r="G60" s="293"/>
      <c r="H60" s="427">
        <f t="shared" si="0"/>
        <v>16.79</v>
      </c>
      <c r="I60" s="427">
        <f t="shared" si="1"/>
        <v>0</v>
      </c>
      <c r="J60" s="275">
        <v>16.79</v>
      </c>
      <c r="K60" s="276"/>
      <c r="L60" s="277"/>
      <c r="M60" s="278"/>
      <c r="N60" s="391"/>
      <c r="O60" s="545"/>
      <c r="P60" s="279"/>
      <c r="Q60" s="280"/>
      <c r="R60" s="195"/>
      <c r="S60" s="195"/>
      <c r="T60" s="195"/>
      <c r="U60" s="195"/>
      <c r="V60" s="195"/>
      <c r="W60" s="195"/>
      <c r="X60" s="553">
        <v>16.79</v>
      </c>
      <c r="Y60" s="568"/>
      <c r="Z60" s="569"/>
      <c r="AA60" s="281"/>
      <c r="AB60" s="282"/>
      <c r="AC60" s="669"/>
      <c r="AD60" s="282"/>
      <c r="AE60" s="282"/>
      <c r="AF60" s="282"/>
    </row>
    <row r="61" spans="1:32" ht="18.75" customHeight="1">
      <c r="A61" s="270">
        <v>42166</v>
      </c>
      <c r="B61" s="283" t="s">
        <v>986</v>
      </c>
      <c r="C61" s="271" t="s">
        <v>609</v>
      </c>
      <c r="D61" s="272" t="s">
        <v>610</v>
      </c>
      <c r="E61" s="293" t="s">
        <v>1054</v>
      </c>
      <c r="F61" s="273"/>
      <c r="G61" s="293"/>
      <c r="H61" s="427">
        <f t="shared" si="0"/>
        <v>119.3</v>
      </c>
      <c r="I61" s="427">
        <f t="shared" si="1"/>
        <v>0</v>
      </c>
      <c r="J61" s="275">
        <v>119.3</v>
      </c>
      <c r="K61" s="276"/>
      <c r="L61" s="277"/>
      <c r="M61" s="278"/>
      <c r="N61" s="391"/>
      <c r="O61" s="545"/>
      <c r="P61" s="279"/>
      <c r="Q61" s="280"/>
      <c r="R61" s="195"/>
      <c r="S61" s="195"/>
      <c r="T61" s="195"/>
      <c r="U61" s="195"/>
      <c r="V61" s="195"/>
      <c r="W61" s="195"/>
      <c r="X61" s="553">
        <v>119.3</v>
      </c>
      <c r="Y61" s="568"/>
      <c r="Z61" s="569"/>
      <c r="AA61" s="281"/>
      <c r="AB61" s="282"/>
      <c r="AC61" s="669"/>
      <c r="AD61" s="282"/>
      <c r="AE61" s="282"/>
      <c r="AF61" s="282"/>
    </row>
    <row r="62" spans="1:32" ht="18.75" customHeight="1">
      <c r="A62" s="270">
        <v>42166</v>
      </c>
      <c r="B62" s="283" t="s">
        <v>611</v>
      </c>
      <c r="C62" s="271" t="s">
        <v>612</v>
      </c>
      <c r="D62" s="272" t="s">
        <v>613</v>
      </c>
      <c r="E62" s="293" t="s">
        <v>1054</v>
      </c>
      <c r="F62" s="273"/>
      <c r="G62" s="293"/>
      <c r="H62" s="427">
        <f t="shared" si="0"/>
        <v>190</v>
      </c>
      <c r="I62" s="427">
        <f t="shared" si="1"/>
        <v>0</v>
      </c>
      <c r="J62" s="275">
        <v>190</v>
      </c>
      <c r="K62" s="276"/>
      <c r="L62" s="277"/>
      <c r="M62" s="278"/>
      <c r="N62" s="391"/>
      <c r="O62" s="545"/>
      <c r="P62" s="279"/>
      <c r="Q62" s="280"/>
      <c r="R62" s="195"/>
      <c r="S62" s="195"/>
      <c r="T62" s="195"/>
      <c r="U62" s="195"/>
      <c r="V62" s="195">
        <v>190</v>
      </c>
      <c r="W62" s="195"/>
      <c r="X62" s="553"/>
      <c r="Y62" s="568"/>
      <c r="Z62" s="569"/>
      <c r="AA62" s="281"/>
      <c r="AB62" s="282"/>
      <c r="AC62" s="669"/>
      <c r="AD62" s="282"/>
      <c r="AE62" s="282"/>
      <c r="AF62" s="282"/>
    </row>
    <row r="63" spans="1:32" ht="18.75" customHeight="1">
      <c r="A63" s="270">
        <v>42166</v>
      </c>
      <c r="B63" s="283" t="s">
        <v>823</v>
      </c>
      <c r="C63" s="271" t="s">
        <v>920</v>
      </c>
      <c r="D63" s="272" t="s">
        <v>1059</v>
      </c>
      <c r="E63" s="293"/>
      <c r="F63" s="293"/>
      <c r="G63" s="293"/>
      <c r="H63" s="427">
        <f t="shared" si="0"/>
        <v>0</v>
      </c>
      <c r="I63" s="427">
        <f t="shared" si="1"/>
        <v>250</v>
      </c>
      <c r="J63" s="275"/>
      <c r="K63" s="276">
        <v>250</v>
      </c>
      <c r="L63" s="277"/>
      <c r="M63" s="278"/>
      <c r="N63" s="391"/>
      <c r="O63" s="545"/>
      <c r="P63" s="279"/>
      <c r="Q63" s="280"/>
      <c r="R63" s="195"/>
      <c r="S63" s="195"/>
      <c r="T63" s="195"/>
      <c r="U63" s="195"/>
      <c r="V63" s="195"/>
      <c r="W63" s="195"/>
      <c r="X63" s="553"/>
      <c r="Y63" s="568"/>
      <c r="Z63" s="569"/>
      <c r="AA63" s="281"/>
      <c r="AB63" s="282">
        <v>250</v>
      </c>
      <c r="AC63" s="669"/>
      <c r="AD63" s="282"/>
      <c r="AE63" s="282"/>
      <c r="AF63" s="282"/>
    </row>
    <row r="64" spans="1:32" ht="18.75" customHeight="1">
      <c r="A64" s="270">
        <v>42167</v>
      </c>
      <c r="B64" s="283" t="s">
        <v>614</v>
      </c>
      <c r="C64" s="271" t="s">
        <v>615</v>
      </c>
      <c r="D64" s="272" t="s">
        <v>616</v>
      </c>
      <c r="E64" s="293" t="s">
        <v>1054</v>
      </c>
      <c r="F64" s="273"/>
      <c r="G64" s="293"/>
      <c r="H64" s="427">
        <f t="shared" si="0"/>
        <v>54.16</v>
      </c>
      <c r="I64" s="427">
        <f t="shared" si="1"/>
        <v>0</v>
      </c>
      <c r="J64" s="275">
        <v>54.16</v>
      </c>
      <c r="K64" s="276"/>
      <c r="L64" s="277"/>
      <c r="M64" s="278"/>
      <c r="N64" s="391"/>
      <c r="O64" s="545"/>
      <c r="P64" s="279"/>
      <c r="Q64" s="280"/>
      <c r="R64" s="195"/>
      <c r="S64" s="195"/>
      <c r="T64" s="195"/>
      <c r="U64" s="195"/>
      <c r="V64" s="195"/>
      <c r="W64" s="195"/>
      <c r="X64" s="553">
        <v>54.16</v>
      </c>
      <c r="Y64" s="568"/>
      <c r="Z64" s="569"/>
      <c r="AA64" s="281"/>
      <c r="AB64" s="282"/>
      <c r="AC64" s="669"/>
      <c r="AD64" s="282"/>
      <c r="AE64" s="282"/>
      <c r="AF64" s="282"/>
    </row>
    <row r="65" spans="1:32" ht="18.75" customHeight="1">
      <c r="A65" s="270">
        <v>42167</v>
      </c>
      <c r="B65" s="283" t="s">
        <v>818</v>
      </c>
      <c r="C65" s="271" t="s">
        <v>617</v>
      </c>
      <c r="D65" s="272" t="s">
        <v>618</v>
      </c>
      <c r="E65" s="293" t="s">
        <v>1054</v>
      </c>
      <c r="F65" s="273"/>
      <c r="G65" s="293"/>
      <c r="H65" s="427">
        <f t="shared" si="0"/>
        <v>86.99</v>
      </c>
      <c r="I65" s="427"/>
      <c r="J65" s="275">
        <v>86.99</v>
      </c>
      <c r="K65" s="276"/>
      <c r="L65" s="277"/>
      <c r="M65" s="278"/>
      <c r="N65" s="649"/>
      <c r="O65" s="688"/>
      <c r="P65" s="279"/>
      <c r="Q65" s="280"/>
      <c r="R65" s="195">
        <v>67</v>
      </c>
      <c r="S65" s="195"/>
      <c r="T65" s="195"/>
      <c r="U65" s="195"/>
      <c r="V65" s="195"/>
      <c r="W65" s="195"/>
      <c r="X65" s="553">
        <v>19.99</v>
      </c>
      <c r="Y65" s="657"/>
      <c r="Z65" s="658"/>
      <c r="AA65" s="281"/>
      <c r="AB65" s="282"/>
      <c r="AC65" s="669"/>
      <c r="AD65" s="633"/>
      <c r="AE65" s="282"/>
      <c r="AF65" s="282"/>
    </row>
    <row r="66" spans="1:32" ht="18.75" customHeight="1">
      <c r="A66" s="270">
        <v>42170</v>
      </c>
      <c r="B66" s="283" t="s">
        <v>619</v>
      </c>
      <c r="C66" s="271" t="s">
        <v>620</v>
      </c>
      <c r="D66" s="272" t="s">
        <v>621</v>
      </c>
      <c r="E66" s="293" t="s">
        <v>1054</v>
      </c>
      <c r="F66" s="273"/>
      <c r="G66" s="293"/>
      <c r="H66" s="427">
        <f t="shared" si="0"/>
        <v>56.62</v>
      </c>
      <c r="I66" s="427"/>
      <c r="J66" s="275">
        <v>56.62</v>
      </c>
      <c r="K66" s="276"/>
      <c r="L66" s="277"/>
      <c r="M66" s="278"/>
      <c r="N66" s="649"/>
      <c r="O66" s="688"/>
      <c r="P66" s="279"/>
      <c r="Q66" s="280"/>
      <c r="R66" s="195"/>
      <c r="S66" s="195"/>
      <c r="T66" s="195"/>
      <c r="U66" s="195"/>
      <c r="V66" s="195">
        <v>56.62</v>
      </c>
      <c r="W66" s="195"/>
      <c r="X66" s="553"/>
      <c r="Y66" s="657"/>
      <c r="Z66" s="658"/>
      <c r="AA66" s="281"/>
      <c r="AB66" s="282"/>
      <c r="AC66" s="669"/>
      <c r="AD66" s="633"/>
      <c r="AE66" s="282"/>
      <c r="AF66" s="282"/>
    </row>
    <row r="67" spans="1:32" ht="18.75" customHeight="1">
      <c r="A67" s="270">
        <v>42170</v>
      </c>
      <c r="B67" s="283" t="s">
        <v>986</v>
      </c>
      <c r="C67" s="271" t="s">
        <v>622</v>
      </c>
      <c r="D67" s="272" t="s">
        <v>623</v>
      </c>
      <c r="E67" s="293" t="s">
        <v>1054</v>
      </c>
      <c r="F67" s="273"/>
      <c r="G67" s="293"/>
      <c r="H67" s="427">
        <f t="shared" si="0"/>
        <v>61.8</v>
      </c>
      <c r="I67" s="427"/>
      <c r="J67" s="275">
        <v>61.8</v>
      </c>
      <c r="K67" s="276"/>
      <c r="L67" s="277"/>
      <c r="M67" s="278"/>
      <c r="N67" s="649"/>
      <c r="O67" s="688"/>
      <c r="P67" s="279"/>
      <c r="Q67" s="280"/>
      <c r="R67" s="195"/>
      <c r="S67" s="195"/>
      <c r="T67" s="195">
        <v>61.8</v>
      </c>
      <c r="U67" s="195"/>
      <c r="V67" s="195"/>
      <c r="W67" s="195"/>
      <c r="X67" s="553"/>
      <c r="Y67" s="657"/>
      <c r="Z67" s="658"/>
      <c r="AA67" s="281"/>
      <c r="AB67" s="282"/>
      <c r="AC67" s="669"/>
      <c r="AD67" s="633"/>
      <c r="AE67" s="282"/>
      <c r="AF67" s="282"/>
    </row>
    <row r="68" spans="1:32" ht="18.75" customHeight="1">
      <c r="A68" s="270">
        <v>42170</v>
      </c>
      <c r="B68" s="283" t="s">
        <v>1055</v>
      </c>
      <c r="C68" s="271" t="s">
        <v>1055</v>
      </c>
      <c r="D68" s="272" t="s">
        <v>882</v>
      </c>
      <c r="E68" s="293"/>
      <c r="F68" s="273"/>
      <c r="G68" s="293" t="s">
        <v>1054</v>
      </c>
      <c r="H68" s="427">
        <f t="shared" si="0"/>
        <v>1.15</v>
      </c>
      <c r="I68" s="427"/>
      <c r="J68" s="275">
        <v>1.15</v>
      </c>
      <c r="K68" s="276"/>
      <c r="L68" s="277"/>
      <c r="M68" s="278"/>
      <c r="N68" s="649"/>
      <c r="O68" s="688"/>
      <c r="P68" s="279"/>
      <c r="Q68" s="280"/>
      <c r="R68" s="195"/>
      <c r="S68" s="195"/>
      <c r="T68" s="195">
        <v>1.15</v>
      </c>
      <c r="U68" s="195"/>
      <c r="V68" s="195"/>
      <c r="W68" s="195"/>
      <c r="X68" s="553"/>
      <c r="Y68" s="657"/>
      <c r="Z68" s="658"/>
      <c r="AA68" s="281"/>
      <c r="AB68" s="282"/>
      <c r="AC68" s="669"/>
      <c r="AD68" s="633"/>
      <c r="AE68" s="282"/>
      <c r="AF68" s="282"/>
    </row>
    <row r="69" spans="1:32" ht="18.75" customHeight="1">
      <c r="A69" s="270">
        <v>42172</v>
      </c>
      <c r="B69" s="283" t="s">
        <v>989</v>
      </c>
      <c r="C69" s="271" t="s">
        <v>989</v>
      </c>
      <c r="D69" s="272" t="s">
        <v>882</v>
      </c>
      <c r="E69" s="293"/>
      <c r="F69" s="273"/>
      <c r="G69" s="293" t="s">
        <v>1054</v>
      </c>
      <c r="H69" s="427">
        <f t="shared" si="0"/>
        <v>592.85</v>
      </c>
      <c r="I69" s="427"/>
      <c r="J69" s="275">
        <v>592.85</v>
      </c>
      <c r="K69" s="276"/>
      <c r="L69" s="277"/>
      <c r="M69" s="278"/>
      <c r="N69" s="649"/>
      <c r="O69" s="688"/>
      <c r="P69" s="279"/>
      <c r="Q69" s="280"/>
      <c r="R69" s="195"/>
      <c r="S69" s="195"/>
      <c r="T69" s="195"/>
      <c r="U69" s="195">
        <v>592.85</v>
      </c>
      <c r="V69" s="195"/>
      <c r="W69" s="195"/>
      <c r="X69" s="553"/>
      <c r="Y69" s="657"/>
      <c r="Z69" s="658"/>
      <c r="AA69" s="281"/>
      <c r="AB69" s="282"/>
      <c r="AC69" s="669"/>
      <c r="AD69" s="633"/>
      <c r="AE69" s="282"/>
      <c r="AF69" s="282"/>
    </row>
    <row r="70" spans="1:32" ht="18.75" customHeight="1">
      <c r="A70" s="270">
        <v>42173</v>
      </c>
      <c r="B70" s="283" t="s">
        <v>624</v>
      </c>
      <c r="C70" s="271" t="s">
        <v>625</v>
      </c>
      <c r="D70" s="272" t="s">
        <v>626</v>
      </c>
      <c r="E70" s="293" t="s">
        <v>1054</v>
      </c>
      <c r="F70" s="273"/>
      <c r="G70" s="293"/>
      <c r="H70" s="427">
        <f t="shared" si="0"/>
        <v>62</v>
      </c>
      <c r="I70" s="427"/>
      <c r="J70" s="275">
        <v>62</v>
      </c>
      <c r="K70" s="276"/>
      <c r="L70" s="277"/>
      <c r="M70" s="278"/>
      <c r="N70" s="649"/>
      <c r="O70" s="688"/>
      <c r="P70" s="279"/>
      <c r="Q70" s="280"/>
      <c r="R70" s="195"/>
      <c r="S70" s="195"/>
      <c r="T70" s="195"/>
      <c r="U70" s="195"/>
      <c r="V70" s="195"/>
      <c r="W70" s="195"/>
      <c r="X70" s="553">
        <v>62</v>
      </c>
      <c r="Y70" s="657"/>
      <c r="Z70" s="658"/>
      <c r="AA70" s="281"/>
      <c r="AB70" s="282"/>
      <c r="AC70" s="669"/>
      <c r="AD70" s="633"/>
      <c r="AE70" s="282"/>
      <c r="AF70" s="282"/>
    </row>
    <row r="71" spans="1:32" ht="18.75" customHeight="1">
      <c r="A71" s="270">
        <v>42173</v>
      </c>
      <c r="B71" s="283" t="s">
        <v>627</v>
      </c>
      <c r="C71" s="271" t="s">
        <v>628</v>
      </c>
      <c r="D71" s="272" t="s">
        <v>882</v>
      </c>
      <c r="E71" s="293"/>
      <c r="F71" s="273"/>
      <c r="G71" s="293" t="s">
        <v>1054</v>
      </c>
      <c r="H71" s="427">
        <f t="shared" si="0"/>
        <v>2105.38</v>
      </c>
      <c r="I71" s="427"/>
      <c r="J71" s="275">
        <v>2105.38</v>
      </c>
      <c r="K71" s="276"/>
      <c r="L71" s="277"/>
      <c r="M71" s="278"/>
      <c r="N71" s="649"/>
      <c r="O71" s="688"/>
      <c r="P71" s="279"/>
      <c r="Q71" s="280"/>
      <c r="R71" s="195"/>
      <c r="S71" s="195"/>
      <c r="T71" s="195"/>
      <c r="U71" s="195">
        <v>2105.38</v>
      </c>
      <c r="V71" s="195"/>
      <c r="W71" s="195"/>
      <c r="X71" s="553"/>
      <c r="Y71" s="657"/>
      <c r="Z71" s="658"/>
      <c r="AA71" s="281"/>
      <c r="AB71" s="282"/>
      <c r="AC71" s="669"/>
      <c r="AD71" s="633"/>
      <c r="AE71" s="282"/>
      <c r="AF71" s="282"/>
    </row>
    <row r="72" spans="1:32" ht="18.75" customHeight="1">
      <c r="A72" s="270">
        <v>42177</v>
      </c>
      <c r="B72" s="283" t="s">
        <v>629</v>
      </c>
      <c r="C72" s="271" t="s">
        <v>630</v>
      </c>
      <c r="D72" s="272" t="s">
        <v>631</v>
      </c>
      <c r="E72" s="293" t="s">
        <v>1054</v>
      </c>
      <c r="F72" s="273"/>
      <c r="G72" s="293"/>
      <c r="H72" s="427">
        <f t="shared" si="0"/>
        <v>16.89</v>
      </c>
      <c r="I72" s="427"/>
      <c r="J72" s="275">
        <v>16.89</v>
      </c>
      <c r="K72" s="276"/>
      <c r="L72" s="277"/>
      <c r="M72" s="278"/>
      <c r="N72" s="649"/>
      <c r="O72" s="688"/>
      <c r="P72" s="279"/>
      <c r="Q72" s="280"/>
      <c r="R72" s="195">
        <v>16.89</v>
      </c>
      <c r="S72" s="195"/>
      <c r="T72" s="195"/>
      <c r="U72" s="195"/>
      <c r="V72" s="195"/>
      <c r="W72" s="195"/>
      <c r="X72" s="553"/>
      <c r="Y72" s="657"/>
      <c r="Z72" s="658"/>
      <c r="AA72" s="281"/>
      <c r="AB72" s="282"/>
      <c r="AC72" s="669"/>
      <c r="AD72" s="633"/>
      <c r="AE72" s="282"/>
      <c r="AF72" s="282"/>
    </row>
    <row r="73" spans="1:32" ht="18.75" customHeight="1">
      <c r="A73" s="270">
        <v>42177</v>
      </c>
      <c r="B73" s="283" t="s">
        <v>986</v>
      </c>
      <c r="C73" s="271" t="s">
        <v>632</v>
      </c>
      <c r="D73" s="272" t="s">
        <v>633</v>
      </c>
      <c r="E73" s="293" t="s">
        <v>1054</v>
      </c>
      <c r="F73" s="273"/>
      <c r="G73" s="293"/>
      <c r="H73" s="427">
        <f t="shared" si="0"/>
        <v>86.66</v>
      </c>
      <c r="I73" s="427"/>
      <c r="J73" s="275">
        <v>86.66</v>
      </c>
      <c r="K73" s="276"/>
      <c r="L73" s="277"/>
      <c r="M73" s="278"/>
      <c r="N73" s="649"/>
      <c r="O73" s="688"/>
      <c r="P73" s="279"/>
      <c r="Q73" s="280"/>
      <c r="R73" s="195"/>
      <c r="S73" s="195"/>
      <c r="T73" s="195"/>
      <c r="U73" s="195"/>
      <c r="V73" s="195"/>
      <c r="W73" s="195"/>
      <c r="X73" s="553">
        <v>86.66</v>
      </c>
      <c r="Y73" s="657"/>
      <c r="Z73" s="658"/>
      <c r="AA73" s="281"/>
      <c r="AB73" s="282"/>
      <c r="AC73" s="669"/>
      <c r="AD73" s="633"/>
      <c r="AE73" s="282"/>
      <c r="AF73" s="282"/>
    </row>
    <row r="74" spans="1:32" ht="18.75" customHeight="1">
      <c r="A74" s="270">
        <v>42177</v>
      </c>
      <c r="B74" s="283" t="s">
        <v>634</v>
      </c>
      <c r="C74" s="271" t="s">
        <v>635</v>
      </c>
      <c r="D74" s="272" t="s">
        <v>636</v>
      </c>
      <c r="E74" s="293" t="s">
        <v>1054</v>
      </c>
      <c r="F74" s="273"/>
      <c r="G74" s="293"/>
      <c r="H74" s="427">
        <f t="shared" si="0"/>
        <v>261.36</v>
      </c>
      <c r="I74" s="427"/>
      <c r="J74" s="275">
        <v>261.36</v>
      </c>
      <c r="K74" s="276"/>
      <c r="L74" s="277"/>
      <c r="M74" s="278"/>
      <c r="N74" s="649"/>
      <c r="O74" s="688"/>
      <c r="P74" s="279"/>
      <c r="Q74" s="280"/>
      <c r="R74" s="195"/>
      <c r="S74" s="195"/>
      <c r="T74" s="195"/>
      <c r="U74" s="195"/>
      <c r="V74" s="195"/>
      <c r="W74" s="195">
        <v>261.36</v>
      </c>
      <c r="X74" s="553"/>
      <c r="Y74" s="657"/>
      <c r="Z74" s="658"/>
      <c r="AA74" s="281"/>
      <c r="AB74" s="282"/>
      <c r="AC74" s="669"/>
      <c r="AD74" s="633"/>
      <c r="AE74" s="282"/>
      <c r="AF74" s="282"/>
    </row>
    <row r="75" spans="1:32" ht="18.75" customHeight="1">
      <c r="A75" s="270">
        <v>42180</v>
      </c>
      <c r="B75" s="283" t="s">
        <v>637</v>
      </c>
      <c r="C75" s="271" t="s">
        <v>638</v>
      </c>
      <c r="D75" s="272" t="s">
        <v>639</v>
      </c>
      <c r="E75" s="293" t="s">
        <v>1054</v>
      </c>
      <c r="F75" s="273"/>
      <c r="G75" s="293"/>
      <c r="H75" s="427">
        <f t="shared" si="0"/>
        <v>194.4</v>
      </c>
      <c r="I75" s="427"/>
      <c r="J75" s="275">
        <v>194.4</v>
      </c>
      <c r="K75" s="276"/>
      <c r="L75" s="277"/>
      <c r="M75" s="278"/>
      <c r="N75" s="649"/>
      <c r="O75" s="688"/>
      <c r="P75" s="279"/>
      <c r="Q75" s="280"/>
      <c r="R75" s="195"/>
      <c r="S75" s="195"/>
      <c r="T75" s="195">
        <v>194.4</v>
      </c>
      <c r="U75" s="195"/>
      <c r="V75" s="195"/>
      <c r="W75" s="195"/>
      <c r="X75" s="553"/>
      <c r="Y75" s="657"/>
      <c r="Z75" s="658"/>
      <c r="AA75" s="281"/>
      <c r="AB75" s="282"/>
      <c r="AC75" s="669"/>
      <c r="AD75" s="633"/>
      <c r="AE75" s="282"/>
      <c r="AF75" s="282"/>
    </row>
    <row r="76" spans="1:32" ht="18.75" customHeight="1">
      <c r="A76" s="270">
        <v>42180</v>
      </c>
      <c r="B76" s="283" t="s">
        <v>640</v>
      </c>
      <c r="C76" s="271" t="s">
        <v>641</v>
      </c>
      <c r="D76" s="272" t="s">
        <v>642</v>
      </c>
      <c r="E76" s="293" t="s">
        <v>1054</v>
      </c>
      <c r="F76" s="273"/>
      <c r="G76" s="293"/>
      <c r="H76" s="427">
        <f t="shared" si="0"/>
        <v>408.01</v>
      </c>
      <c r="I76" s="427"/>
      <c r="J76" s="275">
        <v>408.01</v>
      </c>
      <c r="K76" s="276"/>
      <c r="L76" s="277"/>
      <c r="M76" s="278"/>
      <c r="N76" s="649"/>
      <c r="O76" s="688"/>
      <c r="P76" s="279"/>
      <c r="Q76" s="280"/>
      <c r="R76" s="195"/>
      <c r="S76" s="195"/>
      <c r="T76" s="195"/>
      <c r="U76" s="195"/>
      <c r="V76" s="195">
        <v>408.01</v>
      </c>
      <c r="W76" s="195"/>
      <c r="X76" s="553"/>
      <c r="Y76" s="657"/>
      <c r="Z76" s="658"/>
      <c r="AA76" s="281"/>
      <c r="AB76" s="282"/>
      <c r="AC76" s="669"/>
      <c r="AD76" s="633"/>
      <c r="AE76" s="282"/>
      <c r="AF76" s="282"/>
    </row>
    <row r="77" spans="1:32" ht="18.75" customHeight="1">
      <c r="A77" s="270">
        <v>42181</v>
      </c>
      <c r="B77" s="283" t="s">
        <v>643</v>
      </c>
      <c r="C77" s="271" t="s">
        <v>644</v>
      </c>
      <c r="D77" s="272" t="s">
        <v>645</v>
      </c>
      <c r="E77" s="293" t="s">
        <v>1054</v>
      </c>
      <c r="F77" s="273"/>
      <c r="G77" s="293"/>
      <c r="H77" s="427">
        <f t="shared" si="0"/>
        <v>112.71</v>
      </c>
      <c r="I77" s="427"/>
      <c r="J77" s="275">
        <v>112.71</v>
      </c>
      <c r="K77" s="276"/>
      <c r="L77" s="277"/>
      <c r="M77" s="278"/>
      <c r="N77" s="649"/>
      <c r="O77" s="688"/>
      <c r="P77" s="279"/>
      <c r="Q77" s="280"/>
      <c r="R77" s="195"/>
      <c r="S77" s="195"/>
      <c r="T77" s="195"/>
      <c r="U77" s="195"/>
      <c r="V77" s="195"/>
      <c r="W77" s="195">
        <v>112.71</v>
      </c>
      <c r="X77" s="553"/>
      <c r="Y77" s="657"/>
      <c r="Z77" s="658"/>
      <c r="AA77" s="281"/>
      <c r="AB77" s="282"/>
      <c r="AC77" s="669"/>
      <c r="AD77" s="633"/>
      <c r="AE77" s="282"/>
      <c r="AF77" s="282"/>
    </row>
    <row r="78" spans="1:32" ht="18.75" customHeight="1">
      <c r="A78" s="270">
        <v>42181</v>
      </c>
      <c r="B78" s="283" t="s">
        <v>646</v>
      </c>
      <c r="C78" s="271" t="s">
        <v>647</v>
      </c>
      <c r="D78" s="272" t="s">
        <v>648</v>
      </c>
      <c r="E78" s="293" t="s">
        <v>1054</v>
      </c>
      <c r="F78" s="273"/>
      <c r="G78" s="293"/>
      <c r="H78" s="427">
        <f t="shared" si="0"/>
        <v>224.91</v>
      </c>
      <c r="I78" s="427"/>
      <c r="J78" s="275">
        <v>224.91</v>
      </c>
      <c r="K78" s="276"/>
      <c r="L78" s="277"/>
      <c r="M78" s="278"/>
      <c r="N78" s="649"/>
      <c r="O78" s="688"/>
      <c r="P78" s="279"/>
      <c r="Q78" s="280"/>
      <c r="R78" s="195"/>
      <c r="S78" s="195"/>
      <c r="T78" s="195"/>
      <c r="U78" s="195"/>
      <c r="V78" s="195"/>
      <c r="W78" s="195"/>
      <c r="X78" s="553">
        <v>224.91</v>
      </c>
      <c r="Y78" s="657"/>
      <c r="Z78" s="658"/>
      <c r="AA78" s="281"/>
      <c r="AB78" s="282"/>
      <c r="AC78" s="669"/>
      <c r="AD78" s="633"/>
      <c r="AE78" s="282"/>
      <c r="AF78" s="282"/>
    </row>
    <row r="79" spans="1:32" ht="18.75" customHeight="1">
      <c r="A79" s="270">
        <v>42184</v>
      </c>
      <c r="B79" s="283" t="s">
        <v>649</v>
      </c>
      <c r="C79" s="271" t="s">
        <v>650</v>
      </c>
      <c r="D79" s="272" t="s">
        <v>651</v>
      </c>
      <c r="E79" s="293" t="s">
        <v>1054</v>
      </c>
      <c r="F79" s="273"/>
      <c r="G79" s="293"/>
      <c r="H79" s="427">
        <f t="shared" si="0"/>
        <v>36</v>
      </c>
      <c r="I79" s="427"/>
      <c r="J79" s="275">
        <v>36</v>
      </c>
      <c r="K79" s="276"/>
      <c r="L79" s="277"/>
      <c r="M79" s="278"/>
      <c r="N79" s="649"/>
      <c r="O79" s="688"/>
      <c r="P79" s="279"/>
      <c r="Q79" s="280"/>
      <c r="R79" s="195"/>
      <c r="S79" s="195"/>
      <c r="T79" s="647"/>
      <c r="U79" s="647"/>
      <c r="V79" s="195">
        <v>36</v>
      </c>
      <c r="W79" s="195"/>
      <c r="X79" s="553"/>
      <c r="Y79" s="657"/>
      <c r="Z79" s="658"/>
      <c r="AA79" s="281"/>
      <c r="AB79" s="282"/>
      <c r="AC79" s="669"/>
      <c r="AD79" s="633"/>
      <c r="AE79" s="282"/>
      <c r="AF79" s="282"/>
    </row>
    <row r="80" spans="1:32" ht="18.75" customHeight="1" thickBot="1">
      <c r="A80" s="270"/>
      <c r="B80" s="283"/>
      <c r="C80" s="271"/>
      <c r="D80" s="272"/>
      <c r="E80" s="293"/>
      <c r="F80" s="273"/>
      <c r="G80" s="293"/>
      <c r="H80" s="427">
        <f t="shared" si="0"/>
        <v>0</v>
      </c>
      <c r="I80" s="427">
        <f t="shared" si="1"/>
        <v>0</v>
      </c>
      <c r="J80" s="275"/>
      <c r="K80" s="276"/>
      <c r="L80" s="277"/>
      <c r="M80" s="278"/>
      <c r="N80" s="524"/>
      <c r="O80" s="546"/>
      <c r="P80" s="279"/>
      <c r="Q80" s="280"/>
      <c r="R80" s="195"/>
      <c r="S80" s="195"/>
      <c r="T80" s="195"/>
      <c r="U80" s="195"/>
      <c r="V80" s="195"/>
      <c r="W80" s="195"/>
      <c r="X80" s="553"/>
      <c r="Y80" s="571"/>
      <c r="Z80" s="572"/>
      <c r="AA80" s="281"/>
      <c r="AB80" s="282"/>
      <c r="AC80" s="669"/>
      <c r="AD80" s="670"/>
      <c r="AE80" s="282"/>
      <c r="AF80" s="282"/>
    </row>
    <row r="81" spans="1:32" ht="18.75" customHeight="1" thickBot="1">
      <c r="A81" s="270"/>
      <c r="B81" s="435"/>
      <c r="C81" s="435" t="s">
        <v>652</v>
      </c>
      <c r="D81" s="436"/>
      <c r="E81" s="437"/>
      <c r="F81" s="437"/>
      <c r="G81" s="437"/>
      <c r="H81" s="438">
        <f aca="true" t="shared" si="2" ref="H81:O81">SUM(H8:H80)</f>
        <v>5669.04</v>
      </c>
      <c r="I81" s="439">
        <f t="shared" si="2"/>
        <v>8145.470000000001</v>
      </c>
      <c r="J81" s="440">
        <f>SUM(J8:J80)</f>
        <v>5669.04</v>
      </c>
      <c r="K81" s="440">
        <f t="shared" si="2"/>
        <v>5227.47</v>
      </c>
      <c r="L81" s="440">
        <f t="shared" si="2"/>
        <v>0</v>
      </c>
      <c r="M81" s="440">
        <f t="shared" si="2"/>
        <v>0</v>
      </c>
      <c r="N81" s="440">
        <f t="shared" si="2"/>
        <v>0</v>
      </c>
      <c r="O81" s="440">
        <f t="shared" si="2"/>
        <v>0</v>
      </c>
      <c r="P81" s="440">
        <f aca="true" t="shared" si="3" ref="P81:AE81">SUM(P8:P80)</f>
        <v>0</v>
      </c>
      <c r="Q81" s="440">
        <f t="shared" si="3"/>
        <v>2918.0000000000005</v>
      </c>
      <c r="R81" s="440">
        <f t="shared" si="3"/>
        <v>83.89</v>
      </c>
      <c r="S81" s="440">
        <f t="shared" si="3"/>
        <v>15.3</v>
      </c>
      <c r="T81" s="440">
        <f>SUM(T8:T80)</f>
        <v>544.33</v>
      </c>
      <c r="U81" s="440">
        <f t="shared" si="3"/>
        <v>2698.23</v>
      </c>
      <c r="V81" s="440">
        <f t="shared" si="3"/>
        <v>979.93</v>
      </c>
      <c r="W81" s="440">
        <f t="shared" si="3"/>
        <v>683.8600000000001</v>
      </c>
      <c r="X81" s="440">
        <f t="shared" si="3"/>
        <v>663.4999999999999</v>
      </c>
      <c r="Y81" s="440">
        <f>SUM(Y8:Y80)</f>
        <v>0</v>
      </c>
      <c r="Z81" s="440">
        <f>SUM(Z8:Z80)</f>
        <v>0</v>
      </c>
      <c r="AA81" s="440">
        <f t="shared" si="3"/>
        <v>0</v>
      </c>
      <c r="AB81" s="440">
        <f t="shared" si="3"/>
        <v>6714.17</v>
      </c>
      <c r="AC81" s="440">
        <f t="shared" si="3"/>
        <v>755.8</v>
      </c>
      <c r="AD81" s="440">
        <f t="shared" si="3"/>
        <v>70</v>
      </c>
      <c r="AE81" s="440">
        <f t="shared" si="3"/>
        <v>0</v>
      </c>
      <c r="AF81" s="667">
        <f>SUM(AF8:AF80)</f>
        <v>605.5</v>
      </c>
    </row>
    <row r="82" spans="2:32" ht="12">
      <c r="B82" s="441"/>
      <c r="C82" s="441"/>
      <c r="D82" s="442"/>
      <c r="E82" s="422"/>
      <c r="F82" s="422"/>
      <c r="G82" s="422"/>
      <c r="H82" s="443"/>
      <c r="I82" s="443"/>
      <c r="J82" s="444"/>
      <c r="K82" s="444"/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</row>
    <row r="83" spans="1:32" s="445" customFormat="1" ht="18.75" customHeight="1" thickBot="1">
      <c r="A83" s="453"/>
      <c r="B83" s="446"/>
      <c r="C83" s="446"/>
      <c r="D83" s="407"/>
      <c r="E83" s="397"/>
      <c r="F83" s="397"/>
      <c r="G83" s="447" t="s">
        <v>1066</v>
      </c>
      <c r="H83" s="448">
        <f>(J81+L81+N81+P81)-Y81</f>
        <v>5669.04</v>
      </c>
      <c r="J83" s="449"/>
      <c r="K83" s="400"/>
      <c r="N83" s="449"/>
      <c r="O83" s="449" t="s">
        <v>1067</v>
      </c>
      <c r="P83" s="450">
        <f>(K81+M81+O81+Q81)-Z81</f>
        <v>8145.470000000001</v>
      </c>
      <c r="Q83" s="451"/>
      <c r="T83" s="449" t="s">
        <v>1068</v>
      </c>
      <c r="U83" s="668">
        <f>(R81+S81+T81+U81+V81+W81+X81)</f>
        <v>5669.040000000001</v>
      </c>
      <c r="V83" s="453"/>
      <c r="W83" s="453"/>
      <c r="X83" s="453"/>
      <c r="Y83" s="454"/>
      <c r="AA83" s="455"/>
      <c r="AB83" s="447" t="s">
        <v>885</v>
      </c>
      <c r="AC83" s="550">
        <f>(AA81+AB81+AC81+AD81+AE81+AF81)</f>
        <v>8145.47</v>
      </c>
      <c r="AD83" s="453"/>
      <c r="AE83" s="453"/>
      <c r="AF83" s="453"/>
    </row>
    <row r="84" spans="1:32" s="457" customFormat="1" ht="18.75" customHeight="1" thickBot="1">
      <c r="A84" s="503"/>
      <c r="B84" s="458"/>
      <c r="C84" s="459" t="s">
        <v>653</v>
      </c>
      <c r="D84" s="460"/>
      <c r="E84" s="397"/>
      <c r="F84" s="397"/>
      <c r="G84" s="461"/>
      <c r="H84" s="462">
        <f aca="true" t="shared" si="4" ref="H84:AF84">SUM(H3+H81)</f>
        <v>36265.75</v>
      </c>
      <c r="I84" s="463">
        <f t="shared" si="4"/>
        <v>46255.030000000006</v>
      </c>
      <c r="J84" s="464">
        <f t="shared" si="4"/>
        <v>36265.75</v>
      </c>
      <c r="K84" s="464">
        <f t="shared" si="4"/>
        <v>44945.66</v>
      </c>
      <c r="L84" s="464">
        <f t="shared" si="4"/>
        <v>0</v>
      </c>
      <c r="M84" s="464">
        <f t="shared" si="4"/>
        <v>63232.73</v>
      </c>
      <c r="N84" s="464">
        <f t="shared" si="4"/>
        <v>0</v>
      </c>
      <c r="O84" s="464">
        <f t="shared" si="4"/>
        <v>77741.76</v>
      </c>
      <c r="P84" s="464">
        <f t="shared" si="4"/>
        <v>0</v>
      </c>
      <c r="Q84" s="464">
        <f t="shared" si="4"/>
        <v>3267.26</v>
      </c>
      <c r="R84" s="464">
        <f t="shared" si="4"/>
        <v>2410.4100000000003</v>
      </c>
      <c r="S84" s="464">
        <f t="shared" si="4"/>
        <v>122.39999999999999</v>
      </c>
      <c r="T84" s="464">
        <f t="shared" si="4"/>
        <v>2509.08</v>
      </c>
      <c r="U84" s="464">
        <f t="shared" si="4"/>
        <v>6278.530000000001</v>
      </c>
      <c r="V84" s="464">
        <f t="shared" si="4"/>
        <v>6661.120000000001</v>
      </c>
      <c r="W84" s="464">
        <f t="shared" si="4"/>
        <v>4374.040000000001</v>
      </c>
      <c r="X84" s="464">
        <f t="shared" si="4"/>
        <v>1910.17</v>
      </c>
      <c r="Y84" s="464">
        <f t="shared" si="4"/>
        <v>12000</v>
      </c>
      <c r="Z84" s="464">
        <f t="shared" si="4"/>
        <v>12000</v>
      </c>
      <c r="AA84" s="464">
        <f t="shared" si="4"/>
        <v>0</v>
      </c>
      <c r="AB84" s="464">
        <f t="shared" si="4"/>
        <v>31296.489999999998</v>
      </c>
      <c r="AC84" s="464">
        <f t="shared" si="4"/>
        <v>959.9</v>
      </c>
      <c r="AD84" s="464">
        <f t="shared" si="4"/>
        <v>100</v>
      </c>
      <c r="AE84" s="464">
        <f t="shared" si="4"/>
        <v>1237.54</v>
      </c>
      <c r="AF84" s="464">
        <f t="shared" si="4"/>
        <v>661.1</v>
      </c>
    </row>
    <row r="85" spans="1:32" s="457" customFormat="1" ht="12.75" thickBot="1">
      <c r="A85" s="503"/>
      <c r="B85" s="458"/>
      <c r="C85" s="458"/>
      <c r="D85" s="460"/>
      <c r="E85" s="397"/>
      <c r="F85" s="397"/>
      <c r="G85" s="461"/>
      <c r="H85" s="465"/>
      <c r="I85" s="466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  <c r="AF85" s="467"/>
    </row>
    <row r="86" spans="1:32" s="445" customFormat="1" ht="18.75" customHeight="1" thickBot="1">
      <c r="A86" s="453"/>
      <c r="B86" s="458"/>
      <c r="C86" s="468"/>
      <c r="D86" s="407"/>
      <c r="E86" s="397"/>
      <c r="F86" s="397"/>
      <c r="G86" s="447" t="s">
        <v>887</v>
      </c>
      <c r="H86" s="469">
        <f>(J84+L84+P84)-Y84</f>
        <v>24265.75</v>
      </c>
      <c r="J86" s="449"/>
      <c r="K86" s="400"/>
      <c r="N86" s="449"/>
      <c r="O86" s="449" t="s">
        <v>938</v>
      </c>
      <c r="P86" s="450">
        <f>(K84+M84+O84+Q84)-Y84</f>
        <v>177187.41000000003</v>
      </c>
      <c r="Q86" s="451"/>
      <c r="R86" s="449" t="s">
        <v>887</v>
      </c>
      <c r="S86" s="452">
        <f>(R84+S84+T84+U84+V84+W84+X84)</f>
        <v>24265.75</v>
      </c>
      <c r="T86" s="453"/>
      <c r="U86" s="453"/>
      <c r="V86" s="453"/>
      <c r="W86" s="453"/>
      <c r="X86" s="453"/>
      <c r="Y86" s="470"/>
      <c r="AA86" s="455"/>
      <c r="AB86" s="447" t="s">
        <v>1069</v>
      </c>
      <c r="AC86" s="456">
        <f>(AA84+AB84+AC84+AD84+AE84+AF84)</f>
        <v>34255.03</v>
      </c>
      <c r="AD86" s="453"/>
      <c r="AE86" s="453"/>
      <c r="AF86" s="453"/>
    </row>
    <row r="87" spans="2:28" ht="18.75" customHeight="1" thickBot="1">
      <c r="B87" s="458"/>
      <c r="C87" s="471" t="s">
        <v>719</v>
      </c>
      <c r="D87" s="472" t="s">
        <v>1071</v>
      </c>
      <c r="E87" s="473"/>
      <c r="F87" s="473"/>
      <c r="G87" s="473"/>
      <c r="H87" s="474">
        <f>Mai15!H51</f>
        <v>9121.479999999998</v>
      </c>
      <c r="I87" s="475"/>
      <c r="J87" s="476" t="s">
        <v>1072</v>
      </c>
      <c r="K87" s="474">
        <f>Mai15!K51</f>
        <v>63232.73</v>
      </c>
      <c r="L87" s="477"/>
      <c r="M87" s="343" t="s">
        <v>1073</v>
      </c>
      <c r="N87" s="609">
        <f>Mai15!N51</f>
        <v>77741.76</v>
      </c>
      <c r="O87" s="477"/>
      <c r="P87" s="478" t="s">
        <v>981</v>
      </c>
      <c r="Q87" s="474">
        <f>Mai15!Q51</f>
        <v>349.26</v>
      </c>
      <c r="AB87" s="479"/>
    </row>
    <row r="88" spans="1:28" s="480" customFormat="1" ht="12.75" thickBot="1">
      <c r="A88" s="487"/>
      <c r="B88" s="425"/>
      <c r="C88" s="481" t="s">
        <v>894</v>
      </c>
      <c r="D88" s="482"/>
      <c r="E88" s="397"/>
      <c r="F88" s="397"/>
      <c r="G88" s="397"/>
      <c r="H88" s="483"/>
      <c r="I88" s="484"/>
      <c r="J88" s="483"/>
      <c r="K88" s="483"/>
      <c r="L88" s="484"/>
      <c r="M88" s="484"/>
      <c r="N88" s="484"/>
      <c r="O88" s="484"/>
      <c r="P88" s="483"/>
      <c r="Q88" s="400"/>
      <c r="R88" s="485"/>
      <c r="S88" s="476" t="s">
        <v>1074</v>
      </c>
      <c r="T88" s="486"/>
      <c r="U88" s="487"/>
      <c r="V88" s="487"/>
      <c r="W88" s="487"/>
      <c r="X88" s="476" t="s">
        <v>1075</v>
      </c>
      <c r="Y88" s="488"/>
      <c r="Z88" s="486"/>
      <c r="AB88" s="405"/>
    </row>
    <row r="89" spans="2:28" ht="18.75" customHeight="1" thickBot="1" thickTop="1">
      <c r="B89" s="489"/>
      <c r="C89" s="490" t="s">
        <v>654</v>
      </c>
      <c r="D89" s="491" t="s">
        <v>1071</v>
      </c>
      <c r="E89" s="492"/>
      <c r="F89" s="492"/>
      <c r="G89" s="492"/>
      <c r="H89" s="493">
        <f>SUM(H87+K81)-(J81)</f>
        <v>8679.909999999996</v>
      </c>
      <c r="I89" s="494"/>
      <c r="J89" s="495" t="s">
        <v>1072</v>
      </c>
      <c r="K89" s="493">
        <f>K87+M81-L81</f>
        <v>63232.73</v>
      </c>
      <c r="M89" s="343" t="s">
        <v>1073</v>
      </c>
      <c r="N89" s="602">
        <f>N87+O81-N81</f>
        <v>77741.76</v>
      </c>
      <c r="P89" s="495" t="s">
        <v>981</v>
      </c>
      <c r="Q89" s="493">
        <f>SUM(Q87+Q81)-(P81)</f>
        <v>3267.26</v>
      </c>
      <c r="R89" s="496"/>
      <c r="S89" s="495" t="s">
        <v>1077</v>
      </c>
      <c r="T89" s="497"/>
      <c r="X89" s="495" t="s">
        <v>898</v>
      </c>
      <c r="Y89" s="498"/>
      <c r="Z89" s="497"/>
      <c r="AB89" s="499"/>
    </row>
    <row r="90" spans="2:28" ht="18.75" customHeight="1" thickTop="1">
      <c r="B90" s="489"/>
      <c r="C90" s="489"/>
      <c r="D90" s="538"/>
      <c r="E90" s="422"/>
      <c r="F90" s="422"/>
      <c r="G90" s="422"/>
      <c r="H90" s="539"/>
      <c r="I90" s="494"/>
      <c r="J90" s="496"/>
      <c r="K90" s="539"/>
      <c r="M90" s="353"/>
      <c r="N90" s="603"/>
      <c r="P90" s="496"/>
      <c r="Q90" s="539"/>
      <c r="R90" s="496"/>
      <c r="S90" s="496"/>
      <c r="T90" s="540"/>
      <c r="X90" s="496"/>
      <c r="Y90" s="498"/>
      <c r="Z90" s="540"/>
      <c r="AB90" s="499"/>
    </row>
    <row r="91" spans="1:28" s="457" customFormat="1" ht="12">
      <c r="A91" s="503"/>
      <c r="B91" s="446" t="s">
        <v>899</v>
      </c>
      <c r="C91" s="500"/>
      <c r="D91" s="501" t="s">
        <v>900</v>
      </c>
      <c r="E91" s="502"/>
      <c r="F91" s="502"/>
      <c r="G91" s="502"/>
      <c r="H91" s="503"/>
      <c r="I91" s="501" t="s">
        <v>901</v>
      </c>
      <c r="J91" s="503"/>
      <c r="K91" s="503"/>
      <c r="L91" s="501" t="s">
        <v>902</v>
      </c>
      <c r="M91" s="501"/>
      <c r="N91" s="501"/>
      <c r="O91" s="501"/>
      <c r="P91" s="503"/>
      <c r="Q91" s="503"/>
      <c r="R91" s="501" t="s">
        <v>903</v>
      </c>
      <c r="S91" s="400"/>
      <c r="T91" s="501" t="s">
        <v>900</v>
      </c>
      <c r="U91" s="400"/>
      <c r="V91" s="400"/>
      <c r="W91" s="400"/>
      <c r="X91" s="501" t="s">
        <v>901</v>
      </c>
      <c r="Y91" s="504"/>
      <c r="Z91" s="503"/>
      <c r="AB91" s="505"/>
    </row>
    <row r="92" spans="1:28" s="457" customFormat="1" ht="12">
      <c r="A92" s="503"/>
      <c r="B92" s="446"/>
      <c r="C92" s="500"/>
      <c r="D92" s="501"/>
      <c r="E92" s="502"/>
      <c r="F92" s="502"/>
      <c r="G92" s="502"/>
      <c r="H92" s="503"/>
      <c r="I92" s="501"/>
      <c r="J92" s="503"/>
      <c r="K92" s="503"/>
      <c r="L92" s="501"/>
      <c r="M92" s="501"/>
      <c r="N92" s="501"/>
      <c r="O92" s="501"/>
      <c r="P92" s="503"/>
      <c r="Q92" s="503"/>
      <c r="R92" s="501"/>
      <c r="S92" s="400"/>
      <c r="T92" s="501"/>
      <c r="U92" s="400"/>
      <c r="V92" s="400"/>
      <c r="W92" s="400"/>
      <c r="X92" s="501"/>
      <c r="Y92" s="504"/>
      <c r="Z92" s="503"/>
      <c r="AB92" s="505"/>
    </row>
    <row r="93" spans="1:28" s="506" customFormat="1" ht="12">
      <c r="A93" s="511"/>
      <c r="B93" s="533" t="s">
        <v>904</v>
      </c>
      <c r="C93" s="507"/>
      <c r="D93" s="506" t="s">
        <v>655</v>
      </c>
      <c r="E93" s="508"/>
      <c r="F93" s="508"/>
      <c r="H93" s="509"/>
      <c r="I93" s="510"/>
      <c r="J93" s="511"/>
      <c r="K93" s="511"/>
      <c r="L93" s="510"/>
      <c r="M93" s="510"/>
      <c r="N93" s="510"/>
      <c r="O93" s="510"/>
      <c r="P93" s="511"/>
      <c r="Q93" s="511"/>
      <c r="R93" s="510" t="s">
        <v>904</v>
      </c>
      <c r="S93" s="400"/>
      <c r="T93" s="511" t="s">
        <v>905</v>
      </c>
      <c r="U93" s="400"/>
      <c r="V93" s="400"/>
      <c r="W93" s="400"/>
      <c r="X93" s="510"/>
      <c r="Y93" s="512"/>
      <c r="Z93" s="509"/>
      <c r="AB93" s="513"/>
    </row>
    <row r="94" spans="1:28" s="506" customFormat="1" ht="63.75" customHeight="1">
      <c r="A94" s="511"/>
      <c r="B94" s="533"/>
      <c r="C94" s="507"/>
      <c r="E94" s="508"/>
      <c r="F94" s="508"/>
      <c r="H94" s="509"/>
      <c r="I94" s="510"/>
      <c r="J94" s="511"/>
      <c r="K94" s="511"/>
      <c r="L94" s="510"/>
      <c r="M94" s="510"/>
      <c r="N94" s="510"/>
      <c r="O94" s="510"/>
      <c r="P94" s="511"/>
      <c r="Q94" s="511"/>
      <c r="R94" s="510"/>
      <c r="S94" s="400"/>
      <c r="T94" s="511"/>
      <c r="U94" s="400"/>
      <c r="V94" s="400"/>
      <c r="W94" s="400"/>
      <c r="X94" s="510"/>
      <c r="Y94" s="512"/>
      <c r="Z94" s="509"/>
      <c r="AB94" s="513"/>
    </row>
    <row r="95" spans="3:28" ht="18.75" customHeight="1">
      <c r="C95" s="514" t="s">
        <v>906</v>
      </c>
      <c r="D95" s="515"/>
      <c r="E95" s="516"/>
      <c r="F95" s="516"/>
      <c r="G95" s="517"/>
      <c r="H95" s="518">
        <f>H89+K89+N89+Q89</f>
        <v>152921.66</v>
      </c>
      <c r="AB95" s="519"/>
    </row>
    <row r="96" ht="12">
      <c r="J96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X101"/>
  <sheetViews>
    <sheetView zoomScale="110" zoomScaleNormal="110" zoomScalePageLayoutView="0" workbookViewId="0" topLeftCell="A1">
      <pane ySplit="7" topLeftCell="A64" activePane="bottomLeft" state="frozen"/>
      <selection pane="topLeft" activeCell="A1" sqref="A1"/>
      <selection pane="bottomLeft" activeCell="V82" sqref="V82"/>
    </sheetView>
  </sheetViews>
  <sheetFormatPr defaultColWidth="11.7109375" defaultRowHeight="12.75"/>
  <cols>
    <col min="1" max="1" width="5.7109375" style="400" customWidth="1"/>
    <col min="2" max="2" width="17.140625" style="398" customWidth="1"/>
    <col min="3" max="3" width="3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0" width="12.7109375" style="400" customWidth="1"/>
    <col min="11" max="12" width="11.7109375" style="400" customWidth="1"/>
    <col min="13" max="13" width="13.28125" style="400" customWidth="1"/>
    <col min="14" max="14" width="12.421875" style="400" customWidth="1"/>
    <col min="15" max="15" width="11.00390625" style="400" customWidth="1"/>
    <col min="16" max="16" width="11.421875" style="400" customWidth="1"/>
    <col min="17" max="17" width="10.7109375" style="400" customWidth="1"/>
    <col min="18" max="18" width="17.00390625" style="400" customWidth="1"/>
    <col min="19" max="19" width="12.421875" style="400" customWidth="1"/>
    <col min="20" max="22" width="10.7109375" style="400" customWidth="1"/>
    <col min="23" max="23" width="11.421875" style="400" customWidth="1"/>
    <col min="24" max="24" width="10.7109375" style="400" customWidth="1"/>
    <col min="25" max="25" width="12.28125" style="409" customWidth="1"/>
    <col min="26" max="26" width="12.00390625" style="400" customWidth="1"/>
    <col min="27" max="27" width="10.7109375" style="407" customWidth="1"/>
    <col min="28" max="28" width="11.421875" style="522" customWidth="1"/>
    <col min="29" max="29" width="11.421875" style="407" customWidth="1"/>
    <col min="30" max="30" width="10.7109375" style="407" customWidth="1"/>
    <col min="31" max="32" width="10.28125" style="407" customWidth="1"/>
    <col min="33" max="16384" width="11.7109375" style="407" customWidth="1"/>
  </cols>
  <sheetData>
    <row r="1" spans="1:36" s="397" customFormat="1" ht="16.5" customHeight="1">
      <c r="A1" s="660"/>
      <c r="B1" s="398"/>
      <c r="C1" s="55" t="s">
        <v>942</v>
      </c>
      <c r="D1" s="399"/>
      <c r="H1" s="400" t="s">
        <v>1016</v>
      </c>
      <c r="I1" s="401"/>
      <c r="J1" s="402" t="s">
        <v>656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657</v>
      </c>
      <c r="AB1" s="405"/>
      <c r="AI1" s="406" t="s">
        <v>969</v>
      </c>
      <c r="AJ1" s="406" t="s">
        <v>970</v>
      </c>
    </row>
    <row r="2" spans="2:36" ht="12" customHeight="1" thickBot="1">
      <c r="B2" s="407"/>
      <c r="C2" s="408"/>
      <c r="D2" s="397"/>
      <c r="H2" s="400"/>
      <c r="I2" s="400"/>
      <c r="AB2" s="405"/>
      <c r="AI2" s="410" t="s">
        <v>971</v>
      </c>
      <c r="AJ2" s="411" t="s">
        <v>972</v>
      </c>
    </row>
    <row r="3" spans="1:36" s="412" customFormat="1" ht="18.75" customHeight="1" thickBot="1">
      <c r="A3" s="661"/>
      <c r="C3" s="413"/>
      <c r="D3" s="414"/>
      <c r="E3" s="832" t="s">
        <v>1018</v>
      </c>
      <c r="F3" s="833"/>
      <c r="G3" s="834"/>
      <c r="H3" s="415">
        <f>Juin15!H84</f>
        <v>36265.75</v>
      </c>
      <c r="I3" s="415">
        <f>Juin15!I84</f>
        <v>46255.030000000006</v>
      </c>
      <c r="J3" s="415">
        <f>Juin15!J84</f>
        <v>36265.75</v>
      </c>
      <c r="K3" s="415">
        <f>Juin15!K84</f>
        <v>44945.66</v>
      </c>
      <c r="L3" s="415">
        <f>Juin15!L84</f>
        <v>0</v>
      </c>
      <c r="M3" s="415">
        <f>Juin15!M84</f>
        <v>63232.73</v>
      </c>
      <c r="N3" s="415">
        <f>Juin15!N84</f>
        <v>0</v>
      </c>
      <c r="O3" s="415">
        <f>Juin15!O84</f>
        <v>77741.76</v>
      </c>
      <c r="P3" s="415">
        <f>Juin15!P84</f>
        <v>0</v>
      </c>
      <c r="Q3" s="415">
        <f>Juin15!Q84</f>
        <v>3267.26</v>
      </c>
      <c r="R3" s="415">
        <f>Juin15!R84</f>
        <v>2410.4100000000003</v>
      </c>
      <c r="S3" s="415">
        <f>Juin15!S84</f>
        <v>122.39999999999999</v>
      </c>
      <c r="T3" s="415">
        <f>Juin15!T84</f>
        <v>2509.08</v>
      </c>
      <c r="U3" s="415">
        <f>Juin15!U84</f>
        <v>6278.530000000001</v>
      </c>
      <c r="V3" s="415">
        <f>Juin15!V84</f>
        <v>6661.120000000001</v>
      </c>
      <c r="W3" s="415">
        <f>Juin15!W84</f>
        <v>4374.040000000001</v>
      </c>
      <c r="X3" s="415">
        <f>Juin15!X84</f>
        <v>1910.17</v>
      </c>
      <c r="Y3" s="415">
        <f>Juin15!Y84</f>
        <v>12000</v>
      </c>
      <c r="Z3" s="415">
        <f>Juin15!Z84</f>
        <v>12000</v>
      </c>
      <c r="AA3" s="415">
        <f>Juin15!AA84</f>
        <v>0</v>
      </c>
      <c r="AB3" s="415">
        <f>Juin15!AB84</f>
        <v>31296.489999999998</v>
      </c>
      <c r="AC3" s="415">
        <f>Juin15!AC84</f>
        <v>959.9</v>
      </c>
      <c r="AD3" s="415">
        <f>Juin15!AD84</f>
        <v>100</v>
      </c>
      <c r="AE3" s="415">
        <f>Juin15!AE84</f>
        <v>1237.54</v>
      </c>
      <c r="AF3" s="415">
        <f>Juin15!AF84</f>
        <v>661.1</v>
      </c>
      <c r="AI3" s="410" t="s">
        <v>973</v>
      </c>
      <c r="AJ3" s="410" t="s">
        <v>974</v>
      </c>
    </row>
    <row r="4" spans="1:36" s="412" customFormat="1" ht="14.25" customHeight="1" thickBot="1">
      <c r="A4" s="661"/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63">
        <v>58</v>
      </c>
      <c r="Z4" s="864"/>
      <c r="AA4" s="857" t="s">
        <v>1021</v>
      </c>
      <c r="AB4" s="838"/>
      <c r="AC4" s="838"/>
      <c r="AD4" s="838"/>
      <c r="AE4" s="838"/>
      <c r="AF4" s="839"/>
      <c r="AI4" s="410" t="s">
        <v>979</v>
      </c>
      <c r="AJ4" s="410" t="s">
        <v>980</v>
      </c>
    </row>
    <row r="5" spans="1:36" s="419" customFormat="1" ht="12.75" customHeight="1">
      <c r="A5" s="662"/>
      <c r="B5" s="420"/>
      <c r="C5" s="413"/>
      <c r="D5" s="67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I5" s="410" t="s">
        <v>981</v>
      </c>
      <c r="AJ5" s="410" t="s">
        <v>982</v>
      </c>
    </row>
    <row r="6" spans="2:36" ht="13.5" customHeight="1" thickBot="1">
      <c r="B6" s="425"/>
      <c r="C6" s="408"/>
      <c r="D6" s="422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I6" s="410" t="s">
        <v>987</v>
      </c>
      <c r="AJ6" s="410" t="s">
        <v>988</v>
      </c>
    </row>
    <row r="7" spans="1:232" s="62" customFormat="1" ht="25.5" customHeight="1">
      <c r="A7" s="239" t="s">
        <v>1028</v>
      </c>
      <c r="B7" s="56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600" t="s">
        <v>1034</v>
      </c>
      <c r="I7" s="579" t="s">
        <v>1035</v>
      </c>
      <c r="J7" s="600" t="s">
        <v>1036</v>
      </c>
      <c r="K7" s="579" t="s">
        <v>1037</v>
      </c>
      <c r="L7" s="600" t="s">
        <v>1036</v>
      </c>
      <c r="M7" s="579" t="s">
        <v>1037</v>
      </c>
      <c r="N7" s="600" t="s">
        <v>1036</v>
      </c>
      <c r="O7" s="579" t="s">
        <v>1037</v>
      </c>
      <c r="P7" s="600" t="s">
        <v>1036</v>
      </c>
      <c r="Q7" s="579" t="s">
        <v>1037</v>
      </c>
      <c r="R7" s="65" t="s">
        <v>1038</v>
      </c>
      <c r="S7" s="58" t="s">
        <v>1039</v>
      </c>
      <c r="T7" s="58" t="s">
        <v>1040</v>
      </c>
      <c r="U7" s="58" t="s">
        <v>1041</v>
      </c>
      <c r="V7" s="58" t="s">
        <v>1042</v>
      </c>
      <c r="W7" s="58" t="s">
        <v>913</v>
      </c>
      <c r="X7" s="564" t="s">
        <v>1044</v>
      </c>
      <c r="Y7" s="573" t="s">
        <v>1026</v>
      </c>
      <c r="Z7" s="574" t="s">
        <v>1026</v>
      </c>
      <c r="AA7" s="65" t="s">
        <v>914</v>
      </c>
      <c r="AB7" s="58" t="s">
        <v>915</v>
      </c>
      <c r="AC7" s="58" t="s">
        <v>1047</v>
      </c>
      <c r="AD7" s="58" t="s">
        <v>916</v>
      </c>
      <c r="AE7" s="58" t="s">
        <v>946</v>
      </c>
      <c r="AF7" s="58" t="s">
        <v>918</v>
      </c>
      <c r="AG7" s="66"/>
      <c r="AH7" s="66"/>
      <c r="AI7" s="410" t="s">
        <v>989</v>
      </c>
      <c r="AJ7" s="410" t="s">
        <v>990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6" s="425" customFormat="1" ht="18.75" customHeight="1">
      <c r="A8" s="699">
        <v>39630</v>
      </c>
      <c r="B8" s="750" t="s">
        <v>658</v>
      </c>
      <c r="C8" s="11" t="s">
        <v>732</v>
      </c>
      <c r="D8" s="700" t="s">
        <v>659</v>
      </c>
      <c r="E8" s="701"/>
      <c r="F8" s="701" t="s">
        <v>1054</v>
      </c>
      <c r="G8" s="701"/>
      <c r="H8" s="710">
        <f>J8+L8+N8+P8</f>
        <v>0</v>
      </c>
      <c r="I8" s="710">
        <f>K8+M8+O8+Q8</f>
        <v>12</v>
      </c>
      <c r="J8" s="711"/>
      <c r="K8" s="712"/>
      <c r="L8" s="713"/>
      <c r="M8" s="714"/>
      <c r="N8" s="391"/>
      <c r="O8" s="545"/>
      <c r="P8" s="716"/>
      <c r="Q8" s="717">
        <v>12</v>
      </c>
      <c r="R8" s="195"/>
      <c r="S8" s="195"/>
      <c r="T8" s="195"/>
      <c r="U8" s="195"/>
      <c r="V8" s="195"/>
      <c r="W8" s="195"/>
      <c r="X8" s="195"/>
      <c r="Y8" s="718"/>
      <c r="Z8" s="725"/>
      <c r="AA8" s="720"/>
      <c r="AB8" s="721"/>
      <c r="AC8" s="721">
        <v>12</v>
      </c>
      <c r="AD8" s="721"/>
      <c r="AE8" s="721"/>
      <c r="AF8" s="721"/>
      <c r="AG8" s="531"/>
      <c r="AI8" s="410" t="s">
        <v>991</v>
      </c>
      <c r="AJ8" s="410" t="s">
        <v>992</v>
      </c>
    </row>
    <row r="9" spans="1:36" ht="18.75" customHeight="1">
      <c r="A9" s="702">
        <v>39630</v>
      </c>
      <c r="B9" s="11" t="s">
        <v>660</v>
      </c>
      <c r="C9" s="1" t="s">
        <v>850</v>
      </c>
      <c r="D9" s="701" t="s">
        <v>661</v>
      </c>
      <c r="E9" s="701"/>
      <c r="F9" s="701" t="s">
        <v>1054</v>
      </c>
      <c r="G9" s="701"/>
      <c r="H9" s="710">
        <f aca="true" t="shared" si="0" ref="H9:H85">J9+L9+N9+P9</f>
        <v>0</v>
      </c>
      <c r="I9" s="710">
        <f aca="true" t="shared" si="1" ref="I9:I85">K9+M9+O9+Q9</f>
        <v>27.8</v>
      </c>
      <c r="J9" s="715"/>
      <c r="K9" s="712"/>
      <c r="L9" s="713"/>
      <c r="M9" s="714"/>
      <c r="N9" s="391"/>
      <c r="O9" s="545"/>
      <c r="P9" s="716"/>
      <c r="Q9" s="717">
        <v>27.8</v>
      </c>
      <c r="R9" s="195"/>
      <c r="S9" s="195"/>
      <c r="T9" s="195"/>
      <c r="U9" s="195"/>
      <c r="V9" s="195"/>
      <c r="W9" s="195"/>
      <c r="X9" s="195"/>
      <c r="Y9" s="718"/>
      <c r="Z9" s="721"/>
      <c r="AA9" s="720"/>
      <c r="AB9" s="721"/>
      <c r="AC9" s="721">
        <v>27.8</v>
      </c>
      <c r="AD9" s="721"/>
      <c r="AE9" s="721"/>
      <c r="AF9" s="721"/>
      <c r="AG9" s="429"/>
      <c r="AI9" s="410" t="s">
        <v>993</v>
      </c>
      <c r="AJ9" s="430" t="s">
        <v>994</v>
      </c>
    </row>
    <row r="10" spans="1:36" ht="18.75" customHeight="1">
      <c r="A10" s="699">
        <v>39632</v>
      </c>
      <c r="B10" s="750" t="s">
        <v>662</v>
      </c>
      <c r="C10" s="11" t="s">
        <v>850</v>
      </c>
      <c r="D10" s="701" t="s">
        <v>663</v>
      </c>
      <c r="E10" s="701"/>
      <c r="F10" s="701" t="s">
        <v>1064</v>
      </c>
      <c r="G10" s="701"/>
      <c r="H10" s="710">
        <f t="shared" si="0"/>
        <v>0</v>
      </c>
      <c r="I10" s="710">
        <f t="shared" si="1"/>
        <v>23</v>
      </c>
      <c r="J10" s="715"/>
      <c r="K10" s="712"/>
      <c r="L10" s="713"/>
      <c r="M10" s="714"/>
      <c r="N10" s="391"/>
      <c r="O10" s="545"/>
      <c r="P10" s="716"/>
      <c r="Q10" s="717">
        <v>23</v>
      </c>
      <c r="R10" s="195"/>
      <c r="S10" s="195"/>
      <c r="T10" s="195"/>
      <c r="U10" s="195"/>
      <c r="V10" s="195"/>
      <c r="W10" s="195"/>
      <c r="X10" s="195"/>
      <c r="Y10" s="718"/>
      <c r="Z10" s="721"/>
      <c r="AA10" s="720"/>
      <c r="AB10" s="721"/>
      <c r="AC10" s="721">
        <v>23</v>
      </c>
      <c r="AD10" s="721"/>
      <c r="AE10" s="721"/>
      <c r="AF10" s="721"/>
      <c r="AG10" s="429"/>
      <c r="AI10" s="410"/>
      <c r="AJ10" s="430"/>
    </row>
    <row r="11" spans="1:36" ht="18.75" customHeight="1">
      <c r="A11" s="702">
        <v>39632</v>
      </c>
      <c r="B11" s="11" t="s">
        <v>664</v>
      </c>
      <c r="C11" s="1" t="s">
        <v>732</v>
      </c>
      <c r="D11" s="701" t="s">
        <v>665</v>
      </c>
      <c r="E11" s="701"/>
      <c r="F11" s="701" t="s">
        <v>1064</v>
      </c>
      <c r="G11" s="701"/>
      <c r="H11" s="710">
        <f t="shared" si="0"/>
        <v>0</v>
      </c>
      <c r="I11" s="710">
        <f t="shared" si="1"/>
        <v>24</v>
      </c>
      <c r="J11" s="715"/>
      <c r="K11" s="712"/>
      <c r="L11" s="713"/>
      <c r="M11" s="714"/>
      <c r="N11" s="391"/>
      <c r="O11" s="545"/>
      <c r="P11" s="716"/>
      <c r="Q11" s="717">
        <v>24</v>
      </c>
      <c r="R11" s="195"/>
      <c r="S11" s="195"/>
      <c r="T11" s="195"/>
      <c r="U11" s="195"/>
      <c r="V11" s="195"/>
      <c r="W11" s="195"/>
      <c r="X11" s="195"/>
      <c r="Y11" s="718"/>
      <c r="Z11" s="721"/>
      <c r="AA11" s="720"/>
      <c r="AB11" s="721"/>
      <c r="AC11" s="721">
        <v>24</v>
      </c>
      <c r="AD11" s="721"/>
      <c r="AE11" s="721"/>
      <c r="AF11" s="721"/>
      <c r="AG11" s="429"/>
      <c r="AI11" s="410"/>
      <c r="AJ11" s="430"/>
    </row>
    <row r="12" spans="1:36" s="425" customFormat="1" ht="18.75" customHeight="1">
      <c r="A12" s="702">
        <v>39633</v>
      </c>
      <c r="B12" s="703" t="s">
        <v>666</v>
      </c>
      <c r="C12" s="1" t="s">
        <v>732</v>
      </c>
      <c r="D12" s="700" t="s">
        <v>667</v>
      </c>
      <c r="E12" s="701"/>
      <c r="F12" s="701" t="s">
        <v>1064</v>
      </c>
      <c r="G12" s="701"/>
      <c r="H12" s="710">
        <f t="shared" si="0"/>
        <v>0</v>
      </c>
      <c r="I12" s="710">
        <f t="shared" si="1"/>
        <v>12</v>
      </c>
      <c r="J12" s="711"/>
      <c r="K12" s="712"/>
      <c r="L12" s="713"/>
      <c r="M12" s="714"/>
      <c r="N12" s="391"/>
      <c r="O12" s="545"/>
      <c r="P12" s="716"/>
      <c r="Q12" s="717">
        <v>12</v>
      </c>
      <c r="R12" s="195"/>
      <c r="S12" s="195"/>
      <c r="T12" s="195"/>
      <c r="U12" s="195"/>
      <c r="V12" s="195"/>
      <c r="W12" s="195"/>
      <c r="X12" s="195"/>
      <c r="Y12" s="718"/>
      <c r="Z12" s="721"/>
      <c r="AA12" s="720"/>
      <c r="AB12" s="721"/>
      <c r="AC12" s="721">
        <v>12</v>
      </c>
      <c r="AD12" s="721"/>
      <c r="AE12" s="721"/>
      <c r="AF12" s="721"/>
      <c r="AG12" s="531"/>
      <c r="AI12" s="410" t="s">
        <v>995</v>
      </c>
      <c r="AJ12" s="410" t="s">
        <v>996</v>
      </c>
    </row>
    <row r="13" spans="1:36" ht="18.75" customHeight="1">
      <c r="A13" s="702">
        <v>39633</v>
      </c>
      <c r="B13" s="703" t="s">
        <v>668</v>
      </c>
      <c r="C13" s="1" t="s">
        <v>732</v>
      </c>
      <c r="D13" s="700" t="s">
        <v>669</v>
      </c>
      <c r="E13" s="701"/>
      <c r="F13" s="701" t="s">
        <v>1054</v>
      </c>
      <c r="G13" s="701"/>
      <c r="H13" s="710">
        <f t="shared" si="0"/>
        <v>0</v>
      </c>
      <c r="I13" s="710">
        <f t="shared" si="1"/>
        <v>24</v>
      </c>
      <c r="J13" s="715"/>
      <c r="K13" s="712"/>
      <c r="L13" s="713"/>
      <c r="M13" s="714"/>
      <c r="N13" s="391"/>
      <c r="O13" s="545"/>
      <c r="P13" s="716"/>
      <c r="Q13" s="717">
        <v>24</v>
      </c>
      <c r="R13" s="195"/>
      <c r="S13" s="195"/>
      <c r="T13" s="195"/>
      <c r="U13" s="195"/>
      <c r="V13" s="195"/>
      <c r="W13" s="195"/>
      <c r="X13" s="195"/>
      <c r="Y13" s="718"/>
      <c r="Z13" s="719"/>
      <c r="AA13" s="720"/>
      <c r="AB13" s="721"/>
      <c r="AC13" s="721">
        <v>24</v>
      </c>
      <c r="AD13" s="721"/>
      <c r="AE13" s="721"/>
      <c r="AF13" s="721"/>
      <c r="AG13" s="429"/>
      <c r="AI13" s="410" t="s">
        <v>997</v>
      </c>
      <c r="AJ13" s="410" t="s">
        <v>998</v>
      </c>
    </row>
    <row r="14" spans="1:36" s="425" customFormat="1" ht="18.75" customHeight="1">
      <c r="A14" s="702">
        <v>39633</v>
      </c>
      <c r="B14" s="704" t="s">
        <v>670</v>
      </c>
      <c r="C14" s="1" t="s">
        <v>732</v>
      </c>
      <c r="D14" s="700" t="s">
        <v>671</v>
      </c>
      <c r="E14" s="701"/>
      <c r="F14" s="701" t="s">
        <v>1054</v>
      </c>
      <c r="G14" s="701"/>
      <c r="H14" s="710">
        <f t="shared" si="0"/>
        <v>0</v>
      </c>
      <c r="I14" s="710">
        <f t="shared" si="1"/>
        <v>12</v>
      </c>
      <c r="J14" s="715"/>
      <c r="K14" s="712"/>
      <c r="L14" s="713"/>
      <c r="M14" s="714"/>
      <c r="N14" s="391"/>
      <c r="O14" s="545"/>
      <c r="P14" s="716"/>
      <c r="Q14" s="717">
        <v>12</v>
      </c>
      <c r="R14" s="195"/>
      <c r="S14" s="195"/>
      <c r="T14" s="195"/>
      <c r="U14" s="195"/>
      <c r="V14" s="195"/>
      <c r="W14" s="195"/>
      <c r="X14" s="195"/>
      <c r="Y14" s="718"/>
      <c r="Z14" s="721"/>
      <c r="AA14" s="720"/>
      <c r="AB14" s="721"/>
      <c r="AC14" s="721">
        <v>12</v>
      </c>
      <c r="AD14" s="721"/>
      <c r="AE14" s="721"/>
      <c r="AF14" s="721"/>
      <c r="AG14" s="531"/>
      <c r="AI14" s="410" t="s">
        <v>999</v>
      </c>
      <c r="AJ14" s="410" t="s">
        <v>1000</v>
      </c>
    </row>
    <row r="15" spans="1:36" s="425" customFormat="1" ht="18.75" customHeight="1">
      <c r="A15" s="702">
        <v>39633</v>
      </c>
      <c r="B15" s="703" t="s">
        <v>672</v>
      </c>
      <c r="C15" s="1" t="s">
        <v>673</v>
      </c>
      <c r="D15" s="700" t="s">
        <v>460</v>
      </c>
      <c r="E15" s="705"/>
      <c r="F15" s="705" t="s">
        <v>1054</v>
      </c>
      <c r="G15" s="705"/>
      <c r="H15" s="710">
        <f t="shared" si="0"/>
        <v>0</v>
      </c>
      <c r="I15" s="710">
        <f t="shared" si="1"/>
        <v>33</v>
      </c>
      <c r="J15" s="711"/>
      <c r="K15" s="712"/>
      <c r="L15" s="713"/>
      <c r="M15" s="714"/>
      <c r="N15" s="391"/>
      <c r="O15" s="545"/>
      <c r="P15" s="716"/>
      <c r="Q15" s="717">
        <v>33</v>
      </c>
      <c r="R15" s="195"/>
      <c r="S15" s="195"/>
      <c r="T15" s="195"/>
      <c r="U15" s="195"/>
      <c r="V15" s="195"/>
      <c r="W15" s="195"/>
      <c r="X15" s="195"/>
      <c r="Y15" s="718"/>
      <c r="Z15" s="721"/>
      <c r="AA15" s="720"/>
      <c r="AB15" s="721"/>
      <c r="AC15" s="721">
        <v>33</v>
      </c>
      <c r="AD15" s="721"/>
      <c r="AE15" s="721"/>
      <c r="AF15" s="721"/>
      <c r="AG15" s="531"/>
      <c r="AI15" s="410" t="s">
        <v>1001</v>
      </c>
      <c r="AJ15" s="410" t="s">
        <v>1002</v>
      </c>
    </row>
    <row r="16" spans="1:36" s="425" customFormat="1" ht="18.75" customHeight="1">
      <c r="A16" s="702">
        <v>39634</v>
      </c>
      <c r="B16" s="704" t="s">
        <v>461</v>
      </c>
      <c r="C16" s="706" t="s">
        <v>920</v>
      </c>
      <c r="D16" s="700"/>
      <c r="E16" s="705"/>
      <c r="F16" s="705" t="s">
        <v>1054</v>
      </c>
      <c r="G16" s="705"/>
      <c r="H16" s="710">
        <f t="shared" si="0"/>
        <v>0</v>
      </c>
      <c r="I16" s="710">
        <f t="shared" si="1"/>
        <v>5.75</v>
      </c>
      <c r="J16" s="711"/>
      <c r="K16" s="712"/>
      <c r="L16" s="713"/>
      <c r="M16" s="714"/>
      <c r="N16" s="391"/>
      <c r="O16" s="545"/>
      <c r="P16" s="716"/>
      <c r="Q16" s="717">
        <v>5.75</v>
      </c>
      <c r="R16" s="195"/>
      <c r="S16" s="195"/>
      <c r="T16" s="195"/>
      <c r="U16" s="195"/>
      <c r="V16" s="195"/>
      <c r="W16" s="195"/>
      <c r="X16" s="195"/>
      <c r="Y16" s="718"/>
      <c r="Z16" s="719"/>
      <c r="AA16" s="720"/>
      <c r="AB16" s="721">
        <v>5.75</v>
      </c>
      <c r="AC16" s="721"/>
      <c r="AD16" s="721"/>
      <c r="AE16" s="721"/>
      <c r="AF16" s="721"/>
      <c r="AG16" s="531"/>
      <c r="AI16" s="410"/>
      <c r="AJ16" s="410" t="s">
        <v>1003</v>
      </c>
    </row>
    <row r="17" spans="1:36" s="425" customFormat="1" ht="18.75" customHeight="1">
      <c r="A17" s="702">
        <v>39634</v>
      </c>
      <c r="B17" s="703" t="s">
        <v>462</v>
      </c>
      <c r="C17" s="707" t="s">
        <v>732</v>
      </c>
      <c r="D17" s="700" t="s">
        <v>463</v>
      </c>
      <c r="E17" s="705"/>
      <c r="F17" s="705" t="s">
        <v>1064</v>
      </c>
      <c r="G17" s="701"/>
      <c r="H17" s="710">
        <f t="shared" si="0"/>
        <v>0</v>
      </c>
      <c r="I17" s="710">
        <f t="shared" si="1"/>
        <v>12.75</v>
      </c>
      <c r="J17" s="715"/>
      <c r="K17" s="712"/>
      <c r="L17" s="713"/>
      <c r="M17" s="714"/>
      <c r="N17" s="391"/>
      <c r="O17" s="545"/>
      <c r="P17" s="716"/>
      <c r="Q17" s="717">
        <v>12.75</v>
      </c>
      <c r="R17" s="195"/>
      <c r="S17" s="195"/>
      <c r="T17" s="195"/>
      <c r="U17" s="195"/>
      <c r="V17" s="195"/>
      <c r="W17" s="195"/>
      <c r="X17" s="195"/>
      <c r="Y17" s="718"/>
      <c r="Z17" s="719"/>
      <c r="AA17" s="720"/>
      <c r="AB17" s="721"/>
      <c r="AC17" s="721">
        <v>12.75</v>
      </c>
      <c r="AD17" s="721"/>
      <c r="AE17" s="721"/>
      <c r="AF17" s="721"/>
      <c r="AG17" s="531"/>
      <c r="AI17" s="410" t="s">
        <v>736</v>
      </c>
      <c r="AJ17" s="410" t="s">
        <v>737</v>
      </c>
    </row>
    <row r="18" spans="1:36" s="425" customFormat="1" ht="18.75" customHeight="1">
      <c r="A18" s="702">
        <v>39634</v>
      </c>
      <c r="B18" s="708" t="s">
        <v>464</v>
      </c>
      <c r="C18" s="1" t="s">
        <v>732</v>
      </c>
      <c r="D18" s="700" t="s">
        <v>465</v>
      </c>
      <c r="E18" s="705"/>
      <c r="F18" s="705" t="s">
        <v>1064</v>
      </c>
      <c r="G18" s="701"/>
      <c r="H18" s="710">
        <f t="shared" si="0"/>
        <v>0</v>
      </c>
      <c r="I18" s="710">
        <f t="shared" si="1"/>
        <v>8.5</v>
      </c>
      <c r="J18" s="715"/>
      <c r="K18" s="712"/>
      <c r="L18" s="713"/>
      <c r="M18" s="714"/>
      <c r="N18" s="391"/>
      <c r="O18" s="545"/>
      <c r="P18" s="716"/>
      <c r="Q18" s="717">
        <v>8.5</v>
      </c>
      <c r="R18" s="195"/>
      <c r="S18" s="195"/>
      <c r="T18" s="195"/>
      <c r="U18" s="195"/>
      <c r="V18" s="195"/>
      <c r="W18" s="195"/>
      <c r="X18" s="195"/>
      <c r="Y18" s="718"/>
      <c r="Z18" s="721"/>
      <c r="AA18" s="720"/>
      <c r="AB18" s="721"/>
      <c r="AC18" s="721">
        <v>8.5</v>
      </c>
      <c r="AD18" s="721"/>
      <c r="AE18" s="721"/>
      <c r="AF18" s="721"/>
      <c r="AG18" s="531"/>
      <c r="AI18" s="410" t="s">
        <v>741</v>
      </c>
      <c r="AJ18" s="425" t="s">
        <v>742</v>
      </c>
    </row>
    <row r="19" spans="1:36" s="425" customFormat="1" ht="18.75" customHeight="1">
      <c r="A19" s="699">
        <v>39634</v>
      </c>
      <c r="B19" s="703" t="s">
        <v>466</v>
      </c>
      <c r="C19" s="1" t="s">
        <v>732</v>
      </c>
      <c r="D19" s="700" t="s">
        <v>467</v>
      </c>
      <c r="E19" s="705"/>
      <c r="F19" s="705" t="s">
        <v>1064</v>
      </c>
      <c r="G19" s="705"/>
      <c r="H19" s="710">
        <f t="shared" si="0"/>
        <v>0</v>
      </c>
      <c r="I19" s="710">
        <f t="shared" si="1"/>
        <v>12</v>
      </c>
      <c r="J19" s="711"/>
      <c r="K19" s="712"/>
      <c r="L19" s="713"/>
      <c r="M19" s="714"/>
      <c r="N19" s="391"/>
      <c r="O19" s="545"/>
      <c r="P19" s="716"/>
      <c r="Q19" s="717">
        <v>12</v>
      </c>
      <c r="R19" s="195"/>
      <c r="S19" s="195"/>
      <c r="T19" s="195"/>
      <c r="U19" s="195"/>
      <c r="V19" s="195"/>
      <c r="W19" s="195"/>
      <c r="X19" s="195"/>
      <c r="Y19" s="718"/>
      <c r="Z19" s="721"/>
      <c r="AA19" s="720"/>
      <c r="AB19" s="721"/>
      <c r="AC19" s="722">
        <v>12</v>
      </c>
      <c r="AD19" s="721"/>
      <c r="AE19" s="721"/>
      <c r="AF19" s="721"/>
      <c r="AG19" s="531"/>
      <c r="AI19" s="410"/>
      <c r="AJ19" s="425" t="s">
        <v>745</v>
      </c>
    </row>
    <row r="20" spans="1:36" ht="18.75" customHeight="1">
      <c r="A20" s="699">
        <v>39634</v>
      </c>
      <c r="B20" s="703" t="s">
        <v>681</v>
      </c>
      <c r="C20" s="1" t="s">
        <v>732</v>
      </c>
      <c r="D20" s="700" t="s">
        <v>682</v>
      </c>
      <c r="E20" s="705"/>
      <c r="F20" s="705" t="s">
        <v>1064</v>
      </c>
      <c r="G20" s="705"/>
      <c r="H20" s="710">
        <f t="shared" si="0"/>
        <v>0</v>
      </c>
      <c r="I20" s="710">
        <f t="shared" si="1"/>
        <v>24</v>
      </c>
      <c r="J20" s="711"/>
      <c r="K20" s="712"/>
      <c r="L20" s="713"/>
      <c r="M20" s="714"/>
      <c r="N20" s="391"/>
      <c r="O20" s="545"/>
      <c r="P20" s="716"/>
      <c r="Q20" s="717">
        <v>24</v>
      </c>
      <c r="R20" s="195"/>
      <c r="S20" s="195"/>
      <c r="T20" s="195"/>
      <c r="U20" s="195"/>
      <c r="V20" s="195"/>
      <c r="W20" s="195"/>
      <c r="X20" s="195"/>
      <c r="Y20" s="718"/>
      <c r="Z20" s="721"/>
      <c r="AA20" s="720"/>
      <c r="AB20" s="721"/>
      <c r="AC20" s="722">
        <v>24</v>
      </c>
      <c r="AD20" s="721"/>
      <c r="AE20" s="721"/>
      <c r="AF20" s="721"/>
      <c r="AG20" s="429"/>
      <c r="AI20" s="410"/>
      <c r="AJ20" s="425" t="s">
        <v>748</v>
      </c>
    </row>
    <row r="21" spans="1:36" ht="18.75" customHeight="1">
      <c r="A21" s="726">
        <v>39634</v>
      </c>
      <c r="B21" s="709" t="s">
        <v>683</v>
      </c>
      <c r="C21" s="1" t="s">
        <v>732</v>
      </c>
      <c r="D21" s="700" t="s">
        <v>684</v>
      </c>
      <c r="E21" s="705"/>
      <c r="F21" s="705" t="s">
        <v>1054</v>
      </c>
      <c r="G21" s="705"/>
      <c r="H21" s="710">
        <f t="shared" si="0"/>
        <v>0</v>
      </c>
      <c r="I21" s="710">
        <f t="shared" si="1"/>
        <v>24</v>
      </c>
      <c r="J21" s="711"/>
      <c r="K21" s="712"/>
      <c r="L21" s="713"/>
      <c r="M21" s="714"/>
      <c r="N21" s="391"/>
      <c r="O21" s="545"/>
      <c r="P21" s="716"/>
      <c r="Q21" s="717">
        <v>24</v>
      </c>
      <c r="R21" s="195"/>
      <c r="S21" s="195"/>
      <c r="T21" s="195"/>
      <c r="U21" s="195"/>
      <c r="V21" s="195"/>
      <c r="W21" s="195"/>
      <c r="X21" s="195"/>
      <c r="Y21" s="718"/>
      <c r="Z21" s="721"/>
      <c r="AA21" s="720"/>
      <c r="AB21" s="721"/>
      <c r="AC21" s="722">
        <v>24</v>
      </c>
      <c r="AD21" s="721"/>
      <c r="AE21" s="721"/>
      <c r="AF21" s="721"/>
      <c r="AG21" s="429"/>
      <c r="AI21" s="410"/>
      <c r="AJ21" s="425" t="s">
        <v>685</v>
      </c>
    </row>
    <row r="22" spans="1:35" ht="18.75" customHeight="1">
      <c r="A22" s="699">
        <v>39634</v>
      </c>
      <c r="B22" s="703" t="s">
        <v>473</v>
      </c>
      <c r="C22" s="1" t="s">
        <v>732</v>
      </c>
      <c r="D22" s="700" t="s">
        <v>474</v>
      </c>
      <c r="E22" s="705"/>
      <c r="F22" s="705" t="s">
        <v>1064</v>
      </c>
      <c r="G22" s="705"/>
      <c r="H22" s="710">
        <f t="shared" si="0"/>
        <v>0</v>
      </c>
      <c r="I22" s="710">
        <f t="shared" si="1"/>
        <v>12</v>
      </c>
      <c r="J22" s="711"/>
      <c r="K22" s="712"/>
      <c r="L22" s="713"/>
      <c r="M22" s="714"/>
      <c r="N22" s="391"/>
      <c r="O22" s="545"/>
      <c r="P22" s="716"/>
      <c r="Q22" s="717">
        <v>12</v>
      </c>
      <c r="R22" s="195"/>
      <c r="S22" s="195"/>
      <c r="T22" s="195"/>
      <c r="U22" s="195"/>
      <c r="V22" s="195"/>
      <c r="W22" s="195"/>
      <c r="X22" s="195"/>
      <c r="Y22" s="718"/>
      <c r="Z22" s="721"/>
      <c r="AA22" s="720"/>
      <c r="AB22" s="721"/>
      <c r="AC22" s="722">
        <v>12</v>
      </c>
      <c r="AD22" s="721"/>
      <c r="AE22" s="721"/>
      <c r="AF22" s="721"/>
      <c r="AG22" s="429"/>
      <c r="AI22" s="410"/>
    </row>
    <row r="23" spans="1:35" ht="18.75" customHeight="1">
      <c r="A23" s="699">
        <v>39635</v>
      </c>
      <c r="B23" s="703" t="s">
        <v>475</v>
      </c>
      <c r="C23" s="1" t="s">
        <v>732</v>
      </c>
      <c r="D23" s="700" t="s">
        <v>476</v>
      </c>
      <c r="E23" s="705"/>
      <c r="F23" s="705" t="s">
        <v>1064</v>
      </c>
      <c r="G23" s="705"/>
      <c r="H23" s="710">
        <f t="shared" si="0"/>
        <v>0</v>
      </c>
      <c r="I23" s="710">
        <f t="shared" si="1"/>
        <v>12</v>
      </c>
      <c r="J23" s="711"/>
      <c r="K23" s="712"/>
      <c r="L23" s="713"/>
      <c r="M23" s="714"/>
      <c r="N23" s="391"/>
      <c r="O23" s="545"/>
      <c r="P23" s="716"/>
      <c r="Q23" s="717">
        <v>12</v>
      </c>
      <c r="R23" s="195"/>
      <c r="S23" s="195"/>
      <c r="T23" s="195"/>
      <c r="U23" s="195"/>
      <c r="V23" s="195"/>
      <c r="W23" s="195"/>
      <c r="X23" s="195"/>
      <c r="Y23" s="718"/>
      <c r="Z23" s="721"/>
      <c r="AA23" s="720"/>
      <c r="AB23" s="721"/>
      <c r="AC23" s="722">
        <v>12</v>
      </c>
      <c r="AD23" s="721"/>
      <c r="AE23" s="721"/>
      <c r="AF23" s="721"/>
      <c r="AG23" s="429"/>
      <c r="AI23" s="410"/>
    </row>
    <row r="24" spans="1:33" ht="18.75" customHeight="1">
      <c r="A24" s="702">
        <v>39639</v>
      </c>
      <c r="B24" s="708" t="s">
        <v>688</v>
      </c>
      <c r="C24" s="1" t="s">
        <v>739</v>
      </c>
      <c r="D24" s="700" t="s">
        <v>689</v>
      </c>
      <c r="E24" s="701"/>
      <c r="F24" s="701" t="s">
        <v>1054</v>
      </c>
      <c r="G24" s="701"/>
      <c r="H24" s="710">
        <f t="shared" si="0"/>
        <v>0</v>
      </c>
      <c r="I24" s="710">
        <f t="shared" si="1"/>
        <v>95.4</v>
      </c>
      <c r="J24" s="711"/>
      <c r="K24" s="712"/>
      <c r="L24" s="713"/>
      <c r="M24" s="714"/>
      <c r="N24" s="391"/>
      <c r="O24" s="545"/>
      <c r="P24" s="716"/>
      <c r="Q24" s="717">
        <v>95.4</v>
      </c>
      <c r="R24" s="195"/>
      <c r="S24" s="195"/>
      <c r="T24" s="195"/>
      <c r="U24" s="195"/>
      <c r="V24" s="195"/>
      <c r="W24" s="195"/>
      <c r="X24" s="195"/>
      <c r="Y24" s="718"/>
      <c r="Z24" s="721"/>
      <c r="AA24" s="720"/>
      <c r="AB24" s="721"/>
      <c r="AC24" s="723">
        <v>95.4</v>
      </c>
      <c r="AD24" s="721"/>
      <c r="AE24" s="721"/>
      <c r="AF24" s="721"/>
      <c r="AG24" s="429"/>
    </row>
    <row r="25" spans="1:33" ht="18.75" customHeight="1">
      <c r="A25" s="702">
        <v>39640</v>
      </c>
      <c r="B25" s="708" t="s">
        <v>690</v>
      </c>
      <c r="C25" s="1" t="s">
        <v>673</v>
      </c>
      <c r="D25" s="700" t="s">
        <v>691</v>
      </c>
      <c r="E25" s="705"/>
      <c r="F25" s="701" t="s">
        <v>1054</v>
      </c>
      <c r="G25" s="705"/>
      <c r="H25" s="710">
        <f t="shared" si="0"/>
        <v>0</v>
      </c>
      <c r="I25" s="710">
        <f t="shared" si="1"/>
        <v>38</v>
      </c>
      <c r="J25" s="711"/>
      <c r="K25" s="712"/>
      <c r="L25" s="713"/>
      <c r="M25" s="714"/>
      <c r="N25" s="391"/>
      <c r="O25" s="545"/>
      <c r="P25" s="716"/>
      <c r="Q25" s="717">
        <v>38</v>
      </c>
      <c r="R25" s="195"/>
      <c r="S25" s="195"/>
      <c r="T25" s="195"/>
      <c r="U25" s="195"/>
      <c r="V25" s="195"/>
      <c r="W25" s="195"/>
      <c r="X25" s="195"/>
      <c r="Y25" s="718"/>
      <c r="Z25" s="721"/>
      <c r="AA25" s="720"/>
      <c r="AB25" s="721"/>
      <c r="AC25" s="723">
        <v>38</v>
      </c>
      <c r="AD25" s="721"/>
      <c r="AE25" s="721"/>
      <c r="AF25" s="721"/>
      <c r="AG25" s="429"/>
    </row>
    <row r="26" spans="1:33" ht="18.75" customHeight="1">
      <c r="A26" s="702">
        <v>39640</v>
      </c>
      <c r="B26" s="708" t="s">
        <v>692</v>
      </c>
      <c r="C26" s="706" t="s">
        <v>859</v>
      </c>
      <c r="D26" s="700" t="s">
        <v>693</v>
      </c>
      <c r="E26" s="705"/>
      <c r="F26" s="701" t="s">
        <v>1064</v>
      </c>
      <c r="G26" s="705"/>
      <c r="H26" s="710">
        <f t="shared" si="0"/>
        <v>0</v>
      </c>
      <c r="I26" s="710">
        <f t="shared" si="1"/>
        <v>23</v>
      </c>
      <c r="J26" s="715"/>
      <c r="K26" s="712"/>
      <c r="L26" s="713"/>
      <c r="M26" s="714"/>
      <c r="N26" s="391"/>
      <c r="O26" s="545"/>
      <c r="P26" s="716"/>
      <c r="Q26" s="717">
        <v>23</v>
      </c>
      <c r="R26" s="195"/>
      <c r="S26" s="195"/>
      <c r="T26" s="195"/>
      <c r="U26" s="195"/>
      <c r="V26" s="195"/>
      <c r="W26" s="195"/>
      <c r="X26" s="195"/>
      <c r="Y26" s="718"/>
      <c r="Z26" s="721"/>
      <c r="AA26" s="720"/>
      <c r="AB26" s="721"/>
      <c r="AC26" s="723">
        <v>23</v>
      </c>
      <c r="AD26" s="721"/>
      <c r="AE26" s="721"/>
      <c r="AF26" s="721"/>
      <c r="AG26" s="429"/>
    </row>
    <row r="27" spans="1:33" ht="18.75" customHeight="1">
      <c r="A27" s="702">
        <v>39640</v>
      </c>
      <c r="B27" s="703" t="s">
        <v>694</v>
      </c>
      <c r="C27" s="1" t="s">
        <v>732</v>
      </c>
      <c r="D27" s="700" t="s">
        <v>485</v>
      </c>
      <c r="E27" s="705"/>
      <c r="F27" s="701" t="s">
        <v>1064</v>
      </c>
      <c r="G27" s="701"/>
      <c r="H27" s="710">
        <f t="shared" si="0"/>
        <v>0</v>
      </c>
      <c r="I27" s="710">
        <f t="shared" si="1"/>
        <v>12</v>
      </c>
      <c r="J27" s="715"/>
      <c r="K27" s="712"/>
      <c r="L27" s="713"/>
      <c r="M27" s="714"/>
      <c r="N27" s="391"/>
      <c r="O27" s="545"/>
      <c r="P27" s="716"/>
      <c r="Q27" s="717">
        <v>12</v>
      </c>
      <c r="R27" s="195"/>
      <c r="S27" s="195"/>
      <c r="T27" s="195"/>
      <c r="U27" s="195"/>
      <c r="V27" s="195"/>
      <c r="W27" s="195"/>
      <c r="X27" s="195"/>
      <c r="Y27" s="718"/>
      <c r="Z27" s="721"/>
      <c r="AA27" s="720"/>
      <c r="AB27" s="721"/>
      <c r="AC27" s="723">
        <v>12</v>
      </c>
      <c r="AD27" s="721"/>
      <c r="AE27" s="721"/>
      <c r="AF27" s="721"/>
      <c r="AG27" s="429"/>
    </row>
    <row r="28" spans="1:33" ht="18.75" customHeight="1">
      <c r="A28" s="702">
        <v>39640</v>
      </c>
      <c r="B28" s="703" t="s">
        <v>486</v>
      </c>
      <c r="C28" s="1" t="s">
        <v>673</v>
      </c>
      <c r="D28" s="700" t="s">
        <v>487</v>
      </c>
      <c r="E28" s="705"/>
      <c r="F28" s="701" t="s">
        <v>1064</v>
      </c>
      <c r="G28" s="705"/>
      <c r="H28" s="710">
        <f t="shared" si="0"/>
        <v>0</v>
      </c>
      <c r="I28" s="710">
        <f t="shared" si="1"/>
        <v>121.9</v>
      </c>
      <c r="J28" s="711"/>
      <c r="K28" s="712"/>
      <c r="L28" s="713"/>
      <c r="M28" s="714"/>
      <c r="N28" s="391"/>
      <c r="O28" s="545"/>
      <c r="P28" s="716"/>
      <c r="Q28" s="717">
        <v>121.9</v>
      </c>
      <c r="R28" s="195"/>
      <c r="S28" s="195"/>
      <c r="T28" s="195"/>
      <c r="U28" s="195"/>
      <c r="V28" s="195"/>
      <c r="W28" s="195"/>
      <c r="X28" s="195"/>
      <c r="Y28" s="718"/>
      <c r="Z28" s="721"/>
      <c r="AA28" s="720"/>
      <c r="AB28" s="721"/>
      <c r="AC28" s="723">
        <v>121.9</v>
      </c>
      <c r="AD28" s="721"/>
      <c r="AE28" s="721"/>
      <c r="AF28" s="721"/>
      <c r="AG28" s="429"/>
    </row>
    <row r="29" spans="1:33" ht="18.75" customHeight="1">
      <c r="A29" s="702">
        <v>39640</v>
      </c>
      <c r="B29" s="703" t="s">
        <v>488</v>
      </c>
      <c r="C29" s="1" t="s">
        <v>673</v>
      </c>
      <c r="D29" s="700" t="s">
        <v>489</v>
      </c>
      <c r="E29" s="705"/>
      <c r="F29" s="701" t="s">
        <v>1064</v>
      </c>
      <c r="G29" s="705"/>
      <c r="H29" s="710">
        <f t="shared" si="0"/>
        <v>0</v>
      </c>
      <c r="I29" s="710">
        <f t="shared" si="1"/>
        <v>118</v>
      </c>
      <c r="J29" s="711"/>
      <c r="K29" s="712"/>
      <c r="L29" s="713"/>
      <c r="M29" s="714"/>
      <c r="N29" s="391"/>
      <c r="O29" s="545"/>
      <c r="P29" s="716"/>
      <c r="Q29" s="717">
        <v>118</v>
      </c>
      <c r="R29" s="195"/>
      <c r="S29" s="195"/>
      <c r="T29" s="195"/>
      <c r="U29" s="195"/>
      <c r="V29" s="195"/>
      <c r="W29" s="195"/>
      <c r="X29" s="195"/>
      <c r="Y29" s="718"/>
      <c r="Z29" s="721"/>
      <c r="AA29" s="720"/>
      <c r="AB29" s="721"/>
      <c r="AC29" s="723">
        <v>118</v>
      </c>
      <c r="AD29" s="721"/>
      <c r="AE29" s="721"/>
      <c r="AF29" s="721"/>
      <c r="AG29" s="429"/>
    </row>
    <row r="30" spans="1:33" ht="18.75" customHeight="1">
      <c r="A30" s="702">
        <v>39641</v>
      </c>
      <c r="B30" s="703" t="s">
        <v>490</v>
      </c>
      <c r="C30" s="1" t="s">
        <v>673</v>
      </c>
      <c r="D30" s="700" t="s">
        <v>491</v>
      </c>
      <c r="E30" s="705"/>
      <c r="F30" s="701" t="s">
        <v>1064</v>
      </c>
      <c r="G30" s="705"/>
      <c r="H30" s="710">
        <f t="shared" si="0"/>
        <v>0</v>
      </c>
      <c r="I30" s="710">
        <f t="shared" si="1"/>
        <v>33</v>
      </c>
      <c r="J30" s="711"/>
      <c r="K30" s="712"/>
      <c r="L30" s="713"/>
      <c r="M30" s="714"/>
      <c r="N30" s="391"/>
      <c r="O30" s="545"/>
      <c r="P30" s="716"/>
      <c r="Q30" s="717">
        <v>33</v>
      </c>
      <c r="R30" s="195"/>
      <c r="S30" s="195"/>
      <c r="T30" s="195"/>
      <c r="U30" s="195"/>
      <c r="V30" s="195"/>
      <c r="W30" s="195"/>
      <c r="X30" s="195"/>
      <c r="Y30" s="718"/>
      <c r="Z30" s="721"/>
      <c r="AA30" s="720"/>
      <c r="AB30" s="721"/>
      <c r="AC30" s="723">
        <v>33</v>
      </c>
      <c r="AD30" s="721"/>
      <c r="AE30" s="721"/>
      <c r="AF30" s="721"/>
      <c r="AG30" s="429"/>
    </row>
    <row r="31" spans="1:33" ht="18.75" customHeight="1">
      <c r="A31" s="699">
        <v>39640</v>
      </c>
      <c r="B31" s="703" t="s">
        <v>492</v>
      </c>
      <c r="C31" s="1" t="s">
        <v>493</v>
      </c>
      <c r="D31" s="700" t="s">
        <v>860</v>
      </c>
      <c r="E31" s="705"/>
      <c r="F31" s="701" t="s">
        <v>1054</v>
      </c>
      <c r="G31" s="705"/>
      <c r="H31" s="710">
        <f t="shared" si="0"/>
        <v>0</v>
      </c>
      <c r="I31" s="710">
        <f t="shared" si="1"/>
        <v>23</v>
      </c>
      <c r="J31" s="711"/>
      <c r="K31" s="712"/>
      <c r="L31" s="713"/>
      <c r="M31" s="714"/>
      <c r="N31" s="391"/>
      <c r="O31" s="545"/>
      <c r="P31" s="716"/>
      <c r="Q31" s="717">
        <v>23</v>
      </c>
      <c r="R31" s="195"/>
      <c r="S31" s="195"/>
      <c r="T31" s="195"/>
      <c r="U31" s="195"/>
      <c r="V31" s="195"/>
      <c r="W31" s="195"/>
      <c r="X31" s="195"/>
      <c r="Y31" s="718"/>
      <c r="Z31" s="721"/>
      <c r="AA31" s="720"/>
      <c r="AB31" s="721"/>
      <c r="AC31" s="723">
        <v>23</v>
      </c>
      <c r="AD31" s="721"/>
      <c r="AE31" s="721"/>
      <c r="AF31" s="721"/>
      <c r="AG31" s="429"/>
    </row>
    <row r="32" spans="1:33" ht="18.75" customHeight="1">
      <c r="A32" s="699">
        <v>39641</v>
      </c>
      <c r="B32" s="703" t="s">
        <v>494</v>
      </c>
      <c r="C32" s="1" t="s">
        <v>732</v>
      </c>
      <c r="D32" s="700" t="s">
        <v>863</v>
      </c>
      <c r="E32" s="705"/>
      <c r="F32" s="701" t="s">
        <v>1054</v>
      </c>
      <c r="G32" s="705"/>
      <c r="H32" s="710">
        <f t="shared" si="0"/>
        <v>0</v>
      </c>
      <c r="I32" s="710">
        <f t="shared" si="1"/>
        <v>12</v>
      </c>
      <c r="J32" s="711"/>
      <c r="K32" s="712"/>
      <c r="L32" s="713"/>
      <c r="M32" s="714"/>
      <c r="N32" s="391"/>
      <c r="O32" s="545"/>
      <c r="P32" s="716"/>
      <c r="Q32" s="717">
        <v>12</v>
      </c>
      <c r="R32" s="195"/>
      <c r="S32" s="195"/>
      <c r="T32" s="195"/>
      <c r="U32" s="195"/>
      <c r="V32" s="195"/>
      <c r="W32" s="195"/>
      <c r="X32" s="195"/>
      <c r="Y32" s="718"/>
      <c r="Z32" s="721"/>
      <c r="AA32" s="720"/>
      <c r="AB32" s="721"/>
      <c r="AC32" s="723">
        <v>12</v>
      </c>
      <c r="AD32" s="721"/>
      <c r="AE32" s="721"/>
      <c r="AF32" s="721"/>
      <c r="AG32" s="429"/>
    </row>
    <row r="33" spans="1:33" ht="18.75" customHeight="1">
      <c r="A33" s="699">
        <v>39641</v>
      </c>
      <c r="B33" s="703" t="s">
        <v>495</v>
      </c>
      <c r="C33" s="1" t="s">
        <v>496</v>
      </c>
      <c r="D33" s="700" t="s">
        <v>866</v>
      </c>
      <c r="E33" s="705"/>
      <c r="F33" s="701" t="s">
        <v>1054</v>
      </c>
      <c r="G33" s="705"/>
      <c r="H33" s="710">
        <f t="shared" si="0"/>
        <v>0</v>
      </c>
      <c r="I33" s="710">
        <f t="shared" si="1"/>
        <v>42.5</v>
      </c>
      <c r="J33" s="711"/>
      <c r="K33" s="712"/>
      <c r="L33" s="713"/>
      <c r="M33" s="714"/>
      <c r="N33" s="391"/>
      <c r="O33" s="545"/>
      <c r="P33" s="716"/>
      <c r="Q33" s="717">
        <v>42.5</v>
      </c>
      <c r="R33" s="195"/>
      <c r="S33" s="195"/>
      <c r="T33" s="195"/>
      <c r="U33" s="195"/>
      <c r="V33" s="195"/>
      <c r="W33" s="195"/>
      <c r="X33" s="195"/>
      <c r="Y33" s="718"/>
      <c r="Z33" s="721"/>
      <c r="AA33" s="720"/>
      <c r="AB33" s="721"/>
      <c r="AC33" s="723">
        <v>42.5</v>
      </c>
      <c r="AD33" s="721"/>
      <c r="AE33" s="721"/>
      <c r="AF33" s="721"/>
      <c r="AG33" s="429"/>
    </row>
    <row r="34" spans="1:33" s="425" customFormat="1" ht="18.75" customHeight="1">
      <c r="A34" s="699">
        <v>39641</v>
      </c>
      <c r="B34" s="703" t="s">
        <v>497</v>
      </c>
      <c r="C34" s="1" t="s">
        <v>739</v>
      </c>
      <c r="D34" s="700" t="s">
        <v>867</v>
      </c>
      <c r="E34" s="705"/>
      <c r="F34" s="701" t="s">
        <v>1054</v>
      </c>
      <c r="G34" s="705"/>
      <c r="H34" s="710">
        <f t="shared" si="0"/>
        <v>0</v>
      </c>
      <c r="I34" s="710">
        <f t="shared" si="1"/>
        <v>95.4</v>
      </c>
      <c r="J34" s="711"/>
      <c r="K34" s="712"/>
      <c r="L34" s="713"/>
      <c r="M34" s="714"/>
      <c r="N34" s="391"/>
      <c r="O34" s="545"/>
      <c r="P34" s="716"/>
      <c r="Q34" s="717">
        <v>95.4</v>
      </c>
      <c r="R34" s="195"/>
      <c r="S34" s="195"/>
      <c r="T34" s="195"/>
      <c r="U34" s="195"/>
      <c r="V34" s="195"/>
      <c r="W34" s="195"/>
      <c r="X34" s="195"/>
      <c r="Y34" s="718"/>
      <c r="Z34" s="721"/>
      <c r="AA34" s="720"/>
      <c r="AB34" s="721"/>
      <c r="AC34" s="723">
        <v>95.4</v>
      </c>
      <c r="AD34" s="721"/>
      <c r="AE34" s="721"/>
      <c r="AF34" s="721"/>
      <c r="AG34" s="531"/>
    </row>
    <row r="35" spans="1:33" ht="18.75" customHeight="1">
      <c r="A35" s="699">
        <v>39641</v>
      </c>
      <c r="B35" s="703" t="s">
        <v>777</v>
      </c>
      <c r="C35" s="1" t="s">
        <v>498</v>
      </c>
      <c r="D35" s="700" t="s">
        <v>499</v>
      </c>
      <c r="E35" s="705"/>
      <c r="F35" s="701" t="s">
        <v>1054</v>
      </c>
      <c r="G35" s="705"/>
      <c r="H35" s="710">
        <f t="shared" si="0"/>
        <v>0</v>
      </c>
      <c r="I35" s="710">
        <f t="shared" si="1"/>
        <v>15</v>
      </c>
      <c r="J35" s="711"/>
      <c r="K35" s="712"/>
      <c r="L35" s="713"/>
      <c r="M35" s="714"/>
      <c r="N35" s="391"/>
      <c r="O35" s="545"/>
      <c r="P35" s="716"/>
      <c r="Q35" s="717">
        <v>15</v>
      </c>
      <c r="R35" s="195"/>
      <c r="S35" s="195"/>
      <c r="T35" s="195"/>
      <c r="U35" s="195"/>
      <c r="V35" s="195"/>
      <c r="W35" s="195"/>
      <c r="X35" s="195"/>
      <c r="Y35" s="718"/>
      <c r="Z35" s="721"/>
      <c r="AA35" s="720"/>
      <c r="AB35" s="721"/>
      <c r="AC35" s="723">
        <v>15</v>
      </c>
      <c r="AD35" s="721"/>
      <c r="AE35" s="721"/>
      <c r="AF35" s="721"/>
      <c r="AG35" s="429"/>
    </row>
    <row r="36" spans="1:33" ht="18.75" customHeight="1">
      <c r="A36" s="699">
        <v>39642</v>
      </c>
      <c r="B36" s="703" t="s">
        <v>500</v>
      </c>
      <c r="C36" s="1" t="s">
        <v>493</v>
      </c>
      <c r="D36" s="700" t="s">
        <v>869</v>
      </c>
      <c r="E36" s="705"/>
      <c r="F36" s="701" t="s">
        <v>1054</v>
      </c>
      <c r="G36" s="705"/>
      <c r="H36" s="710">
        <f t="shared" si="0"/>
        <v>0</v>
      </c>
      <c r="I36" s="710">
        <f t="shared" si="1"/>
        <v>23</v>
      </c>
      <c r="J36" s="711"/>
      <c r="K36" s="712"/>
      <c r="L36" s="713"/>
      <c r="M36" s="714"/>
      <c r="N36" s="391"/>
      <c r="O36" s="545"/>
      <c r="P36" s="716"/>
      <c r="Q36" s="717">
        <v>23</v>
      </c>
      <c r="R36" s="195"/>
      <c r="S36" s="195"/>
      <c r="T36" s="195"/>
      <c r="U36" s="195"/>
      <c r="V36" s="195"/>
      <c r="W36" s="195"/>
      <c r="X36" s="195"/>
      <c r="Y36" s="718"/>
      <c r="Z36" s="721"/>
      <c r="AA36" s="720"/>
      <c r="AB36" s="721"/>
      <c r="AC36" s="723">
        <v>23</v>
      </c>
      <c r="AD36" s="721"/>
      <c r="AE36" s="721"/>
      <c r="AF36" s="721"/>
      <c r="AG36" s="429"/>
    </row>
    <row r="37" spans="1:33" ht="18.75" customHeight="1">
      <c r="A37" s="699">
        <v>39643</v>
      </c>
      <c r="B37" s="703" t="s">
        <v>760</v>
      </c>
      <c r="C37" s="1" t="s">
        <v>732</v>
      </c>
      <c r="D37" s="700" t="s">
        <v>501</v>
      </c>
      <c r="E37" s="705"/>
      <c r="F37" s="701" t="s">
        <v>1054</v>
      </c>
      <c r="G37" s="705"/>
      <c r="H37" s="710">
        <f t="shared" si="0"/>
        <v>0</v>
      </c>
      <c r="I37" s="710">
        <f t="shared" si="1"/>
        <v>21.6</v>
      </c>
      <c r="J37" s="711"/>
      <c r="K37" s="712"/>
      <c r="L37" s="713"/>
      <c r="M37" s="714"/>
      <c r="N37" s="391"/>
      <c r="O37" s="545"/>
      <c r="P37" s="716"/>
      <c r="Q37" s="717">
        <v>21.6</v>
      </c>
      <c r="R37" s="195"/>
      <c r="S37" s="195"/>
      <c r="T37" s="195"/>
      <c r="U37" s="195"/>
      <c r="V37" s="195"/>
      <c r="W37" s="195"/>
      <c r="X37" s="195"/>
      <c r="Y37" s="718"/>
      <c r="Z37" s="721"/>
      <c r="AA37" s="720"/>
      <c r="AB37" s="721"/>
      <c r="AC37" s="723">
        <v>21.6</v>
      </c>
      <c r="AD37" s="721"/>
      <c r="AE37" s="721"/>
      <c r="AF37" s="721"/>
      <c r="AG37" s="429"/>
    </row>
    <row r="38" spans="1:33" ht="18.75" customHeight="1">
      <c r="A38" s="699">
        <v>39643</v>
      </c>
      <c r="B38" s="703" t="s">
        <v>502</v>
      </c>
      <c r="C38" s="1" t="s">
        <v>732</v>
      </c>
      <c r="D38" s="700" t="s">
        <v>503</v>
      </c>
      <c r="E38" s="705"/>
      <c r="F38" s="701" t="s">
        <v>1054</v>
      </c>
      <c r="G38" s="705"/>
      <c r="H38" s="710">
        <f t="shared" si="0"/>
        <v>0</v>
      </c>
      <c r="I38" s="710">
        <f t="shared" si="1"/>
        <v>24</v>
      </c>
      <c r="J38" s="711"/>
      <c r="K38" s="712"/>
      <c r="L38" s="713"/>
      <c r="M38" s="714"/>
      <c r="N38" s="391"/>
      <c r="O38" s="545"/>
      <c r="P38" s="716"/>
      <c r="Q38" s="717">
        <v>24</v>
      </c>
      <c r="R38" s="195"/>
      <c r="S38" s="195"/>
      <c r="T38" s="195"/>
      <c r="U38" s="195"/>
      <c r="V38" s="195"/>
      <c r="W38" s="195"/>
      <c r="X38" s="195"/>
      <c r="Y38" s="718"/>
      <c r="Z38" s="721"/>
      <c r="AA38" s="720"/>
      <c r="AB38" s="721"/>
      <c r="AC38" s="723">
        <v>24</v>
      </c>
      <c r="AD38" s="721"/>
      <c r="AE38" s="721"/>
      <c r="AF38" s="721"/>
      <c r="AG38" s="429"/>
    </row>
    <row r="39" spans="1:33" ht="18.75" customHeight="1">
      <c r="A39" s="699">
        <v>39643</v>
      </c>
      <c r="B39" s="703" t="s">
        <v>504</v>
      </c>
      <c r="C39" s="1" t="s">
        <v>493</v>
      </c>
      <c r="D39" s="700" t="s">
        <v>505</v>
      </c>
      <c r="E39" s="705"/>
      <c r="F39" s="701" t="s">
        <v>1054</v>
      </c>
      <c r="G39" s="705"/>
      <c r="H39" s="710">
        <f t="shared" si="0"/>
        <v>0</v>
      </c>
      <c r="I39" s="710">
        <f t="shared" si="1"/>
        <v>46</v>
      </c>
      <c r="J39" s="711"/>
      <c r="K39" s="712"/>
      <c r="L39" s="713"/>
      <c r="M39" s="714"/>
      <c r="N39" s="391"/>
      <c r="O39" s="545"/>
      <c r="P39" s="716"/>
      <c r="Q39" s="717">
        <v>46</v>
      </c>
      <c r="R39" s="195"/>
      <c r="S39" s="195"/>
      <c r="T39" s="195"/>
      <c r="U39" s="195"/>
      <c r="V39" s="195"/>
      <c r="W39" s="195"/>
      <c r="X39" s="195"/>
      <c r="Y39" s="718"/>
      <c r="Z39" s="721"/>
      <c r="AA39" s="720"/>
      <c r="AB39" s="721"/>
      <c r="AC39" s="723">
        <v>46</v>
      </c>
      <c r="AD39" s="721"/>
      <c r="AE39" s="721"/>
      <c r="AF39" s="721"/>
      <c r="AG39" s="429"/>
    </row>
    <row r="40" spans="1:33" ht="18.75" customHeight="1">
      <c r="A40" s="699">
        <v>39644</v>
      </c>
      <c r="B40" s="703" t="s">
        <v>500</v>
      </c>
      <c r="C40" s="1" t="s">
        <v>493</v>
      </c>
      <c r="D40" s="700" t="s">
        <v>873</v>
      </c>
      <c r="E40" s="705"/>
      <c r="F40" s="701" t="s">
        <v>1054</v>
      </c>
      <c r="G40" s="705"/>
      <c r="H40" s="710">
        <f t="shared" si="0"/>
        <v>0</v>
      </c>
      <c r="I40" s="710">
        <f t="shared" si="1"/>
        <v>23</v>
      </c>
      <c r="J40" s="711"/>
      <c r="K40" s="712"/>
      <c r="L40" s="713"/>
      <c r="M40" s="714"/>
      <c r="N40" s="391"/>
      <c r="O40" s="545"/>
      <c r="P40" s="716"/>
      <c r="Q40" s="717">
        <v>23</v>
      </c>
      <c r="R40" s="195"/>
      <c r="S40" s="195"/>
      <c r="T40" s="195"/>
      <c r="U40" s="195"/>
      <c r="V40" s="195"/>
      <c r="W40" s="195"/>
      <c r="X40" s="195"/>
      <c r="Y40" s="718"/>
      <c r="Z40" s="721"/>
      <c r="AA40" s="720"/>
      <c r="AB40" s="721"/>
      <c r="AC40" s="723">
        <v>23</v>
      </c>
      <c r="AD40" s="721"/>
      <c r="AE40" s="721"/>
      <c r="AF40" s="721"/>
      <c r="AG40" s="429"/>
    </row>
    <row r="41" spans="1:33" ht="18.75" customHeight="1">
      <c r="A41" s="699">
        <v>39644</v>
      </c>
      <c r="B41" s="703" t="s">
        <v>497</v>
      </c>
      <c r="C41" s="1" t="s">
        <v>739</v>
      </c>
      <c r="D41" s="700" t="s">
        <v>875</v>
      </c>
      <c r="E41" s="705"/>
      <c r="F41" s="701" t="s">
        <v>1054</v>
      </c>
      <c r="G41" s="705"/>
      <c r="H41" s="710">
        <f t="shared" si="0"/>
        <v>0</v>
      </c>
      <c r="I41" s="710">
        <f t="shared" si="1"/>
        <v>31.8</v>
      </c>
      <c r="J41" s="711"/>
      <c r="K41" s="712"/>
      <c r="L41" s="713"/>
      <c r="M41" s="714"/>
      <c r="N41" s="391"/>
      <c r="O41" s="545"/>
      <c r="P41" s="716"/>
      <c r="Q41" s="717">
        <v>31.8</v>
      </c>
      <c r="R41" s="195"/>
      <c r="S41" s="195"/>
      <c r="T41" s="195"/>
      <c r="U41" s="195"/>
      <c r="V41" s="195"/>
      <c r="W41" s="195"/>
      <c r="X41" s="195"/>
      <c r="Y41" s="718"/>
      <c r="Z41" s="721"/>
      <c r="AA41" s="720"/>
      <c r="AB41" s="721"/>
      <c r="AC41" s="723">
        <v>31.8</v>
      </c>
      <c r="AD41" s="721"/>
      <c r="AE41" s="721"/>
      <c r="AF41" s="721"/>
      <c r="AG41" s="672"/>
    </row>
    <row r="42" spans="1:33" ht="18.75" customHeight="1">
      <c r="A42" s="699">
        <v>39645</v>
      </c>
      <c r="B42" s="708" t="s">
        <v>506</v>
      </c>
      <c r="C42" s="1" t="s">
        <v>493</v>
      </c>
      <c r="D42" s="700" t="s">
        <v>878</v>
      </c>
      <c r="E42" s="705"/>
      <c r="F42" s="701" t="s">
        <v>1054</v>
      </c>
      <c r="G42" s="701"/>
      <c r="H42" s="710">
        <f t="shared" si="0"/>
        <v>0</v>
      </c>
      <c r="I42" s="710">
        <f t="shared" si="1"/>
        <v>27.8</v>
      </c>
      <c r="J42" s="715"/>
      <c r="K42" s="712"/>
      <c r="L42" s="713"/>
      <c r="M42" s="714"/>
      <c r="N42" s="391"/>
      <c r="O42" s="545"/>
      <c r="P42" s="716"/>
      <c r="Q42" s="717">
        <v>27.8</v>
      </c>
      <c r="R42" s="195"/>
      <c r="S42" s="195"/>
      <c r="T42" s="195"/>
      <c r="U42" s="195"/>
      <c r="V42" s="195"/>
      <c r="W42" s="195"/>
      <c r="X42" s="195"/>
      <c r="Y42" s="718"/>
      <c r="Z42" s="721"/>
      <c r="AA42" s="720"/>
      <c r="AB42" s="721"/>
      <c r="AC42" s="723">
        <v>27.8</v>
      </c>
      <c r="AD42" s="721"/>
      <c r="AE42" s="721"/>
      <c r="AF42" s="721"/>
      <c r="AG42" s="429"/>
    </row>
    <row r="43" spans="1:33" ht="18.75" customHeight="1">
      <c r="A43" s="699">
        <v>39645</v>
      </c>
      <c r="B43" s="703" t="s">
        <v>670</v>
      </c>
      <c r="C43" s="1" t="s">
        <v>732</v>
      </c>
      <c r="D43" s="700" t="s">
        <v>507</v>
      </c>
      <c r="E43" s="705"/>
      <c r="F43" s="701" t="s">
        <v>1064</v>
      </c>
      <c r="G43" s="701"/>
      <c r="H43" s="710">
        <f t="shared" si="0"/>
        <v>0</v>
      </c>
      <c r="I43" s="710">
        <f t="shared" si="1"/>
        <v>21.6</v>
      </c>
      <c r="J43" s="711"/>
      <c r="K43" s="712"/>
      <c r="L43" s="713"/>
      <c r="M43" s="714"/>
      <c r="N43" s="391"/>
      <c r="O43" s="545"/>
      <c r="P43" s="716"/>
      <c r="Q43" s="717">
        <v>21.6</v>
      </c>
      <c r="R43" s="195"/>
      <c r="S43" s="195"/>
      <c r="T43" s="195"/>
      <c r="U43" s="195"/>
      <c r="V43" s="195"/>
      <c r="W43" s="195"/>
      <c r="X43" s="195"/>
      <c r="Y43" s="718"/>
      <c r="Z43" s="721"/>
      <c r="AA43" s="720"/>
      <c r="AB43" s="721"/>
      <c r="AC43" s="723">
        <v>21.6</v>
      </c>
      <c r="AD43" s="721"/>
      <c r="AE43" s="721"/>
      <c r="AF43" s="721"/>
      <c r="AG43" s="429"/>
    </row>
    <row r="44" spans="1:33" ht="18.75" customHeight="1">
      <c r="A44" s="699">
        <v>39646</v>
      </c>
      <c r="B44" s="703" t="s">
        <v>933</v>
      </c>
      <c r="C44" s="1" t="s">
        <v>508</v>
      </c>
      <c r="D44" s="700"/>
      <c r="E44" s="705"/>
      <c r="F44" s="701" t="s">
        <v>1054</v>
      </c>
      <c r="G44" s="701"/>
      <c r="H44" s="710">
        <f t="shared" si="0"/>
        <v>0</v>
      </c>
      <c r="I44" s="710">
        <f t="shared" si="1"/>
        <v>435</v>
      </c>
      <c r="J44" s="715"/>
      <c r="K44" s="712"/>
      <c r="L44" s="713"/>
      <c r="M44" s="714"/>
      <c r="N44" s="391"/>
      <c r="O44" s="545"/>
      <c r="P44" s="716"/>
      <c r="Q44" s="717">
        <v>435</v>
      </c>
      <c r="R44" s="195"/>
      <c r="S44" s="195"/>
      <c r="T44" s="195"/>
      <c r="U44" s="195"/>
      <c r="V44" s="195"/>
      <c r="W44" s="195"/>
      <c r="X44" s="195"/>
      <c r="Y44" s="718"/>
      <c r="Z44" s="721"/>
      <c r="AA44" s="720"/>
      <c r="AB44" s="721"/>
      <c r="AC44" s="723"/>
      <c r="AD44" s="721"/>
      <c r="AE44" s="721"/>
      <c r="AF44" s="721">
        <v>435</v>
      </c>
      <c r="AG44" s="429"/>
    </row>
    <row r="45" spans="1:33" ht="18.75" customHeight="1" thickBot="1">
      <c r="A45" s="699">
        <v>42202</v>
      </c>
      <c r="B45" s="703" t="s">
        <v>804</v>
      </c>
      <c r="C45" s="1" t="s">
        <v>509</v>
      </c>
      <c r="D45" s="700"/>
      <c r="E45" s="705"/>
      <c r="F45" s="701"/>
      <c r="G45" s="705"/>
      <c r="H45" s="710">
        <f t="shared" si="0"/>
        <v>0</v>
      </c>
      <c r="I45" s="710">
        <f t="shared" si="1"/>
        <v>1135.25</v>
      </c>
      <c r="J45" s="711"/>
      <c r="K45" s="712"/>
      <c r="L45" s="713"/>
      <c r="M45" s="714"/>
      <c r="N45" s="524"/>
      <c r="O45" s="546"/>
      <c r="P45" s="716"/>
      <c r="Q45" s="717">
        <v>1135.25</v>
      </c>
      <c r="R45" s="195"/>
      <c r="S45" s="195"/>
      <c r="T45" s="195"/>
      <c r="U45" s="195"/>
      <c r="V45" s="195"/>
      <c r="W45" s="195"/>
      <c r="X45" s="195"/>
      <c r="Y45" s="718"/>
      <c r="Z45" s="721"/>
      <c r="AA45" s="720"/>
      <c r="AB45" s="721"/>
      <c r="AC45" s="723"/>
      <c r="AD45" s="721"/>
      <c r="AE45" s="721"/>
      <c r="AF45" s="721">
        <v>1135.25</v>
      </c>
      <c r="AG45" s="429"/>
    </row>
    <row r="46" spans="1:33" ht="18.75" customHeight="1" thickBot="1">
      <c r="A46" s="699">
        <v>42202</v>
      </c>
      <c r="B46" s="703" t="s">
        <v>510</v>
      </c>
      <c r="C46" s="1" t="s">
        <v>739</v>
      </c>
      <c r="D46" s="700" t="s">
        <v>511</v>
      </c>
      <c r="E46" s="705"/>
      <c r="F46" s="701" t="s">
        <v>1054</v>
      </c>
      <c r="G46" s="705"/>
      <c r="H46" s="710">
        <f t="shared" si="0"/>
        <v>0</v>
      </c>
      <c r="I46" s="710">
        <f t="shared" si="1"/>
        <v>31.8</v>
      </c>
      <c r="J46" s="711"/>
      <c r="K46" s="712"/>
      <c r="L46" s="713"/>
      <c r="M46" s="714"/>
      <c r="N46" s="697"/>
      <c r="O46" s="698"/>
      <c r="P46" s="716"/>
      <c r="Q46" s="717">
        <v>31.8</v>
      </c>
      <c r="R46" s="195"/>
      <c r="S46" s="195"/>
      <c r="T46" s="195"/>
      <c r="U46" s="195"/>
      <c r="V46" s="195"/>
      <c r="W46" s="195"/>
      <c r="X46" s="195"/>
      <c r="Y46" s="718"/>
      <c r="Z46" s="721"/>
      <c r="AA46" s="720"/>
      <c r="AB46" s="721"/>
      <c r="AC46" s="724">
        <v>31.8</v>
      </c>
      <c r="AD46" s="721"/>
      <c r="AE46" s="721"/>
      <c r="AF46" s="721"/>
      <c r="AG46" s="429"/>
    </row>
    <row r="47" spans="1:33" ht="18.75" customHeight="1" thickBot="1">
      <c r="A47" s="699">
        <v>42202</v>
      </c>
      <c r="B47" s="703" t="s">
        <v>512</v>
      </c>
      <c r="C47" s="1" t="s">
        <v>493</v>
      </c>
      <c r="D47" s="700" t="s">
        <v>513</v>
      </c>
      <c r="E47" s="705"/>
      <c r="F47" s="705" t="s">
        <v>1054</v>
      </c>
      <c r="G47" s="705"/>
      <c r="H47" s="710">
        <f t="shared" si="0"/>
        <v>0</v>
      </c>
      <c r="I47" s="710">
        <f t="shared" si="1"/>
        <v>23</v>
      </c>
      <c r="J47" s="711"/>
      <c r="K47" s="712"/>
      <c r="L47" s="713"/>
      <c r="M47" s="714"/>
      <c r="N47" s="697"/>
      <c r="O47" s="698"/>
      <c r="P47" s="716"/>
      <c r="Q47" s="717">
        <v>23</v>
      </c>
      <c r="R47" s="195"/>
      <c r="S47" s="195"/>
      <c r="T47" s="195"/>
      <c r="U47" s="195"/>
      <c r="V47" s="195"/>
      <c r="W47" s="195"/>
      <c r="X47" s="195"/>
      <c r="Y47" s="718"/>
      <c r="Z47" s="721"/>
      <c r="AA47" s="720"/>
      <c r="AB47" s="721"/>
      <c r="AC47" s="724">
        <v>23</v>
      </c>
      <c r="AD47" s="721"/>
      <c r="AE47" s="721"/>
      <c r="AF47" s="721"/>
      <c r="AG47" s="429"/>
    </row>
    <row r="48" spans="1:33" ht="18.75" customHeight="1" thickBot="1">
      <c r="A48" s="699">
        <v>42202</v>
      </c>
      <c r="B48" s="703" t="s">
        <v>514</v>
      </c>
      <c r="C48" s="1" t="s">
        <v>493</v>
      </c>
      <c r="D48" s="700" t="s">
        <v>515</v>
      </c>
      <c r="E48" s="705"/>
      <c r="F48" s="705" t="s">
        <v>1064</v>
      </c>
      <c r="G48" s="705"/>
      <c r="H48" s="710">
        <f t="shared" si="0"/>
        <v>0</v>
      </c>
      <c r="I48" s="710">
        <f t="shared" si="1"/>
        <v>46</v>
      </c>
      <c r="J48" s="711"/>
      <c r="K48" s="712"/>
      <c r="L48" s="713"/>
      <c r="M48" s="714"/>
      <c r="N48" s="697"/>
      <c r="O48" s="698"/>
      <c r="P48" s="716"/>
      <c r="Q48" s="717">
        <v>46</v>
      </c>
      <c r="R48" s="195"/>
      <c r="S48" s="195"/>
      <c r="T48" s="195"/>
      <c r="U48" s="195"/>
      <c r="V48" s="195"/>
      <c r="W48" s="195"/>
      <c r="X48" s="195"/>
      <c r="Y48" s="718"/>
      <c r="Z48" s="721"/>
      <c r="AA48" s="720"/>
      <c r="AB48" s="721"/>
      <c r="AC48" s="724">
        <v>46</v>
      </c>
      <c r="AD48" s="721"/>
      <c r="AE48" s="721"/>
      <c r="AF48" s="721"/>
      <c r="AG48" s="429"/>
    </row>
    <row r="49" spans="1:33" ht="18.75" customHeight="1" thickBot="1">
      <c r="A49" s="699">
        <v>42203</v>
      </c>
      <c r="B49" s="703" t="s">
        <v>516</v>
      </c>
      <c r="C49" s="1" t="s">
        <v>673</v>
      </c>
      <c r="D49" s="700" t="s">
        <v>517</v>
      </c>
      <c r="E49" s="705"/>
      <c r="F49" s="705" t="s">
        <v>1054</v>
      </c>
      <c r="G49" s="705"/>
      <c r="H49" s="710">
        <f t="shared" si="0"/>
        <v>0</v>
      </c>
      <c r="I49" s="710">
        <f t="shared" si="1"/>
        <v>3</v>
      </c>
      <c r="J49" s="711"/>
      <c r="K49" s="712"/>
      <c r="L49" s="713"/>
      <c r="M49" s="714"/>
      <c r="N49" s="697"/>
      <c r="O49" s="698"/>
      <c r="P49" s="716"/>
      <c r="Q49" s="717">
        <v>3</v>
      </c>
      <c r="R49" s="195"/>
      <c r="S49" s="195"/>
      <c r="T49" s="195"/>
      <c r="U49" s="195"/>
      <c r="V49" s="195"/>
      <c r="W49" s="195"/>
      <c r="X49" s="195"/>
      <c r="Y49" s="718"/>
      <c r="Z49" s="721"/>
      <c r="AA49" s="720"/>
      <c r="AB49" s="721"/>
      <c r="AC49" s="724">
        <v>3</v>
      </c>
      <c r="AD49" s="721"/>
      <c r="AE49" s="721"/>
      <c r="AF49" s="721"/>
      <c r="AG49" s="429"/>
    </row>
    <row r="50" spans="1:33" ht="18.75" customHeight="1" thickBot="1">
      <c r="A50" s="699">
        <v>42203</v>
      </c>
      <c r="B50" s="703" t="s">
        <v>518</v>
      </c>
      <c r="C50" s="1" t="s">
        <v>732</v>
      </c>
      <c r="D50" s="700" t="s">
        <v>519</v>
      </c>
      <c r="E50" s="705"/>
      <c r="F50" s="705" t="s">
        <v>1054</v>
      </c>
      <c r="G50" s="705"/>
      <c r="H50" s="710">
        <f t="shared" si="0"/>
        <v>0</v>
      </c>
      <c r="I50" s="710">
        <f t="shared" si="1"/>
        <v>24</v>
      </c>
      <c r="J50" s="711"/>
      <c r="K50" s="712"/>
      <c r="L50" s="713"/>
      <c r="M50" s="714"/>
      <c r="N50" s="697"/>
      <c r="O50" s="698"/>
      <c r="P50" s="716"/>
      <c r="Q50" s="717">
        <v>24</v>
      </c>
      <c r="R50" s="195"/>
      <c r="S50" s="195"/>
      <c r="T50" s="195"/>
      <c r="U50" s="195"/>
      <c r="V50" s="195"/>
      <c r="W50" s="195"/>
      <c r="X50" s="195"/>
      <c r="Y50" s="718"/>
      <c r="Z50" s="721"/>
      <c r="AA50" s="720"/>
      <c r="AB50" s="721"/>
      <c r="AC50" s="724">
        <v>24</v>
      </c>
      <c r="AD50" s="721"/>
      <c r="AE50" s="721"/>
      <c r="AF50" s="721"/>
      <c r="AG50" s="429"/>
    </row>
    <row r="51" spans="1:33" ht="18.75" customHeight="1" thickBot="1">
      <c r="A51" s="699">
        <v>42203</v>
      </c>
      <c r="B51" s="703" t="s">
        <v>520</v>
      </c>
      <c r="C51" s="1" t="s">
        <v>732</v>
      </c>
      <c r="D51" s="700" t="s">
        <v>521</v>
      </c>
      <c r="E51" s="705"/>
      <c r="F51" s="705" t="s">
        <v>1054</v>
      </c>
      <c r="G51" s="705"/>
      <c r="H51" s="710">
        <f t="shared" si="0"/>
        <v>0</v>
      </c>
      <c r="I51" s="710">
        <f t="shared" si="1"/>
        <v>24</v>
      </c>
      <c r="J51" s="711"/>
      <c r="K51" s="712"/>
      <c r="L51" s="713"/>
      <c r="M51" s="714"/>
      <c r="N51" s="697"/>
      <c r="O51" s="698"/>
      <c r="P51" s="716"/>
      <c r="Q51" s="717">
        <v>24</v>
      </c>
      <c r="R51" s="195"/>
      <c r="S51" s="195"/>
      <c r="T51" s="195"/>
      <c r="U51" s="195"/>
      <c r="V51" s="195"/>
      <c r="W51" s="195"/>
      <c r="X51" s="195"/>
      <c r="Y51" s="718"/>
      <c r="Z51" s="721"/>
      <c r="AA51" s="720"/>
      <c r="AB51" s="721"/>
      <c r="AC51" s="724">
        <v>24</v>
      </c>
      <c r="AD51" s="721"/>
      <c r="AE51" s="721"/>
      <c r="AF51" s="721"/>
      <c r="AG51" s="429"/>
    </row>
    <row r="52" spans="1:33" ht="18.75" customHeight="1" thickBot="1">
      <c r="A52" s="699">
        <v>42208</v>
      </c>
      <c r="B52" s="703" t="s">
        <v>522</v>
      </c>
      <c r="C52" s="1" t="s">
        <v>739</v>
      </c>
      <c r="D52" s="700" t="s">
        <v>523</v>
      </c>
      <c r="E52" s="705"/>
      <c r="F52" s="705" t="s">
        <v>1054</v>
      </c>
      <c r="G52" s="705"/>
      <c r="H52" s="710">
        <f t="shared" si="0"/>
        <v>0</v>
      </c>
      <c r="I52" s="710">
        <f t="shared" si="1"/>
        <v>65</v>
      </c>
      <c r="J52" s="711"/>
      <c r="K52" s="712"/>
      <c r="L52" s="713"/>
      <c r="M52" s="714"/>
      <c r="N52" s="697"/>
      <c r="O52" s="698"/>
      <c r="P52" s="716"/>
      <c r="Q52" s="717">
        <v>65</v>
      </c>
      <c r="R52" s="195"/>
      <c r="S52" s="195"/>
      <c r="T52" s="195"/>
      <c r="U52" s="195"/>
      <c r="V52" s="195"/>
      <c r="W52" s="195"/>
      <c r="X52" s="195"/>
      <c r="Y52" s="718"/>
      <c r="Z52" s="721"/>
      <c r="AA52" s="720"/>
      <c r="AB52" s="721"/>
      <c r="AC52" s="724">
        <v>65</v>
      </c>
      <c r="AD52" s="721"/>
      <c r="AE52" s="721"/>
      <c r="AF52" s="721"/>
      <c r="AG52" s="429"/>
    </row>
    <row r="53" spans="1:33" ht="18.75" customHeight="1" thickBot="1">
      <c r="A53" s="699">
        <v>42209</v>
      </c>
      <c r="B53" s="703" t="s">
        <v>524</v>
      </c>
      <c r="C53" s="1" t="s">
        <v>752</v>
      </c>
      <c r="D53" s="700" t="s">
        <v>525</v>
      </c>
      <c r="E53" s="705"/>
      <c r="F53" s="705" t="s">
        <v>1054</v>
      </c>
      <c r="G53" s="705"/>
      <c r="H53" s="710">
        <f t="shared" si="0"/>
        <v>0</v>
      </c>
      <c r="I53" s="710">
        <f t="shared" si="1"/>
        <v>5</v>
      </c>
      <c r="J53" s="711"/>
      <c r="K53" s="712"/>
      <c r="L53" s="713"/>
      <c r="M53" s="714"/>
      <c r="N53" s="697"/>
      <c r="O53" s="698"/>
      <c r="P53" s="716"/>
      <c r="Q53" s="717">
        <v>5</v>
      </c>
      <c r="R53" s="195"/>
      <c r="S53" s="195"/>
      <c r="T53" s="195"/>
      <c r="U53" s="195"/>
      <c r="V53" s="195"/>
      <c r="W53" s="195"/>
      <c r="X53" s="195"/>
      <c r="Y53" s="718"/>
      <c r="Z53" s="721"/>
      <c r="AA53" s="720"/>
      <c r="AB53" s="721"/>
      <c r="AC53" s="724">
        <v>5</v>
      </c>
      <c r="AD53" s="721"/>
      <c r="AE53" s="721"/>
      <c r="AF53" s="721"/>
      <c r="AG53" s="429"/>
    </row>
    <row r="54" spans="1:33" ht="18.75" customHeight="1" thickBot="1">
      <c r="A54" s="699">
        <v>42209</v>
      </c>
      <c r="B54" s="703" t="s">
        <v>526</v>
      </c>
      <c r="C54" s="1" t="s">
        <v>493</v>
      </c>
      <c r="D54" s="700" t="s">
        <v>527</v>
      </c>
      <c r="E54" s="705"/>
      <c r="F54" s="705" t="s">
        <v>1054</v>
      </c>
      <c r="G54" s="705"/>
      <c r="H54" s="710">
        <f t="shared" si="0"/>
        <v>0</v>
      </c>
      <c r="I54" s="710">
        <f t="shared" si="1"/>
        <v>23</v>
      </c>
      <c r="J54" s="711"/>
      <c r="K54" s="712"/>
      <c r="L54" s="713"/>
      <c r="M54" s="714"/>
      <c r="N54" s="697"/>
      <c r="O54" s="698"/>
      <c r="P54" s="716"/>
      <c r="Q54" s="717">
        <v>23</v>
      </c>
      <c r="R54" s="195"/>
      <c r="S54" s="195"/>
      <c r="T54" s="195"/>
      <c r="U54" s="195"/>
      <c r="V54" s="195"/>
      <c r="W54" s="195"/>
      <c r="X54" s="195"/>
      <c r="Y54" s="718"/>
      <c r="Z54" s="721"/>
      <c r="AA54" s="720"/>
      <c r="AB54" s="721"/>
      <c r="AC54" s="724">
        <v>23</v>
      </c>
      <c r="AD54" s="721"/>
      <c r="AE54" s="721"/>
      <c r="AF54" s="721"/>
      <c r="AG54" s="429"/>
    </row>
    <row r="55" spans="1:33" ht="18.75" customHeight="1" thickBot="1">
      <c r="A55" s="699">
        <v>42210</v>
      </c>
      <c r="B55" s="703" t="s">
        <v>488</v>
      </c>
      <c r="C55" s="1" t="s">
        <v>673</v>
      </c>
      <c r="D55" s="700" t="s">
        <v>528</v>
      </c>
      <c r="E55" s="705"/>
      <c r="F55" s="705" t="s">
        <v>1054</v>
      </c>
      <c r="G55" s="705"/>
      <c r="H55" s="710">
        <f t="shared" si="0"/>
        <v>0</v>
      </c>
      <c r="I55" s="710">
        <f t="shared" si="1"/>
        <v>38.25</v>
      </c>
      <c r="J55" s="711"/>
      <c r="K55" s="712"/>
      <c r="L55" s="713"/>
      <c r="M55" s="714"/>
      <c r="N55" s="697"/>
      <c r="O55" s="698"/>
      <c r="P55" s="716"/>
      <c r="Q55" s="717">
        <v>38.25</v>
      </c>
      <c r="R55" s="195"/>
      <c r="S55" s="195"/>
      <c r="T55" s="195"/>
      <c r="U55" s="195"/>
      <c r="V55" s="195"/>
      <c r="W55" s="195"/>
      <c r="X55" s="195"/>
      <c r="Y55" s="718"/>
      <c r="Z55" s="721"/>
      <c r="AA55" s="720"/>
      <c r="AB55" s="721"/>
      <c r="AC55" s="724">
        <v>38.25</v>
      </c>
      <c r="AD55" s="721"/>
      <c r="AE55" s="721"/>
      <c r="AF55" s="721"/>
      <c r="AG55" s="429"/>
    </row>
    <row r="56" spans="1:33" ht="18.75" customHeight="1" thickBot="1">
      <c r="A56" s="699">
        <v>42210</v>
      </c>
      <c r="B56" s="703" t="s">
        <v>529</v>
      </c>
      <c r="C56" s="1" t="s">
        <v>732</v>
      </c>
      <c r="D56" s="700" t="s">
        <v>530</v>
      </c>
      <c r="E56" s="705"/>
      <c r="F56" s="705" t="s">
        <v>1054</v>
      </c>
      <c r="G56" s="705"/>
      <c r="H56" s="710">
        <f t="shared" si="0"/>
        <v>0</v>
      </c>
      <c r="I56" s="710">
        <f t="shared" si="1"/>
        <v>25.5</v>
      </c>
      <c r="J56" s="711"/>
      <c r="K56" s="712"/>
      <c r="L56" s="713"/>
      <c r="M56" s="714"/>
      <c r="N56" s="697"/>
      <c r="O56" s="698"/>
      <c r="P56" s="716"/>
      <c r="Q56" s="717">
        <v>25.5</v>
      </c>
      <c r="R56" s="195"/>
      <c r="S56" s="195"/>
      <c r="T56" s="195"/>
      <c r="U56" s="195"/>
      <c r="V56" s="195"/>
      <c r="W56" s="195"/>
      <c r="X56" s="195"/>
      <c r="Y56" s="718"/>
      <c r="Z56" s="721"/>
      <c r="AA56" s="720"/>
      <c r="AB56" s="721"/>
      <c r="AC56" s="724">
        <v>25.5</v>
      </c>
      <c r="AD56" s="721"/>
      <c r="AE56" s="721"/>
      <c r="AF56" s="721"/>
      <c r="AG56" s="429"/>
    </row>
    <row r="57" spans="1:33" ht="18.75" customHeight="1" thickBot="1">
      <c r="A57" s="699">
        <v>42211</v>
      </c>
      <c r="B57" s="703" t="s">
        <v>531</v>
      </c>
      <c r="C57" s="1" t="s">
        <v>732</v>
      </c>
      <c r="D57" s="700" t="s">
        <v>532</v>
      </c>
      <c r="E57" s="705"/>
      <c r="F57" s="705" t="s">
        <v>1054</v>
      </c>
      <c r="G57" s="705"/>
      <c r="H57" s="710">
        <f t="shared" si="0"/>
        <v>0</v>
      </c>
      <c r="I57" s="710">
        <f t="shared" si="1"/>
        <v>8.5</v>
      </c>
      <c r="J57" s="711"/>
      <c r="K57" s="712"/>
      <c r="L57" s="713"/>
      <c r="M57" s="714"/>
      <c r="N57" s="697"/>
      <c r="O57" s="698"/>
      <c r="P57" s="716"/>
      <c r="Q57" s="717">
        <v>8.5</v>
      </c>
      <c r="R57" s="195"/>
      <c r="S57" s="195"/>
      <c r="T57" s="195"/>
      <c r="U57" s="195"/>
      <c r="V57" s="195"/>
      <c r="W57" s="195"/>
      <c r="X57" s="195"/>
      <c r="Y57" s="718"/>
      <c r="Z57" s="721"/>
      <c r="AA57" s="720"/>
      <c r="AB57" s="721"/>
      <c r="AC57" s="724">
        <v>8.5</v>
      </c>
      <c r="AD57" s="721"/>
      <c r="AE57" s="721"/>
      <c r="AF57" s="721"/>
      <c r="AG57" s="429"/>
    </row>
    <row r="58" spans="1:33" ht="18.75" customHeight="1" thickBot="1">
      <c r="A58" s="699">
        <v>42211</v>
      </c>
      <c r="B58" s="703" t="s">
        <v>533</v>
      </c>
      <c r="C58" s="1" t="s">
        <v>920</v>
      </c>
      <c r="D58" s="700"/>
      <c r="E58" s="705"/>
      <c r="F58" s="705" t="s">
        <v>1054</v>
      </c>
      <c r="G58" s="705"/>
      <c r="H58" s="710">
        <f t="shared" si="0"/>
        <v>0</v>
      </c>
      <c r="I58" s="710">
        <f t="shared" si="1"/>
        <v>10.8</v>
      </c>
      <c r="J58" s="711"/>
      <c r="K58" s="712"/>
      <c r="L58" s="713"/>
      <c r="M58" s="714"/>
      <c r="N58" s="697"/>
      <c r="O58" s="698"/>
      <c r="P58" s="716"/>
      <c r="Q58" s="717">
        <v>10.8</v>
      </c>
      <c r="R58" s="195"/>
      <c r="S58" s="195"/>
      <c r="T58" s="195"/>
      <c r="U58" s="195"/>
      <c r="V58" s="195"/>
      <c r="W58" s="195"/>
      <c r="X58" s="195"/>
      <c r="Y58" s="718"/>
      <c r="Z58" s="721"/>
      <c r="AA58" s="720"/>
      <c r="AB58" s="721">
        <v>10.8</v>
      </c>
      <c r="AC58" s="724"/>
      <c r="AD58" s="721"/>
      <c r="AE58" s="721"/>
      <c r="AF58" s="721"/>
      <c r="AG58" s="429"/>
    </row>
    <row r="59" spans="1:33" ht="18.75" customHeight="1" thickBot="1">
      <c r="A59" s="699">
        <v>42211</v>
      </c>
      <c r="B59" s="703" t="s">
        <v>488</v>
      </c>
      <c r="C59" s="1" t="s">
        <v>920</v>
      </c>
      <c r="D59" s="700"/>
      <c r="E59" s="705"/>
      <c r="F59" s="705" t="s">
        <v>1054</v>
      </c>
      <c r="G59" s="705"/>
      <c r="H59" s="710">
        <f t="shared" si="0"/>
        <v>0</v>
      </c>
      <c r="I59" s="710">
        <f t="shared" si="1"/>
        <v>43.6</v>
      </c>
      <c r="J59" s="711"/>
      <c r="K59" s="712"/>
      <c r="L59" s="713"/>
      <c r="M59" s="714"/>
      <c r="N59" s="697"/>
      <c r="O59" s="698"/>
      <c r="P59" s="716"/>
      <c r="Q59" s="717">
        <v>43.6</v>
      </c>
      <c r="R59" s="195"/>
      <c r="S59" s="195"/>
      <c r="T59" s="195"/>
      <c r="U59" s="195"/>
      <c r="V59" s="195"/>
      <c r="W59" s="195"/>
      <c r="X59" s="195"/>
      <c r="Y59" s="718"/>
      <c r="Z59" s="721"/>
      <c r="AA59" s="720"/>
      <c r="AB59" s="721">
        <v>43.6</v>
      </c>
      <c r="AC59" s="724"/>
      <c r="AD59" s="721"/>
      <c r="AE59" s="721"/>
      <c r="AF59" s="721"/>
      <c r="AG59" s="429"/>
    </row>
    <row r="60" spans="1:33" ht="18.75" customHeight="1" thickBot="1">
      <c r="A60" s="699">
        <v>42211</v>
      </c>
      <c r="B60" s="703" t="s">
        <v>534</v>
      </c>
      <c r="C60" s="1" t="s">
        <v>920</v>
      </c>
      <c r="D60" s="700"/>
      <c r="E60" s="705"/>
      <c r="F60" s="705" t="s">
        <v>1054</v>
      </c>
      <c r="G60" s="705"/>
      <c r="H60" s="710">
        <f t="shared" si="0"/>
        <v>0</v>
      </c>
      <c r="I60" s="710">
        <f t="shared" si="1"/>
        <v>43.6</v>
      </c>
      <c r="J60" s="711"/>
      <c r="K60" s="712"/>
      <c r="L60" s="713"/>
      <c r="M60" s="714"/>
      <c r="N60" s="697"/>
      <c r="O60" s="698"/>
      <c r="P60" s="716"/>
      <c r="Q60" s="717">
        <v>43.6</v>
      </c>
      <c r="R60" s="195"/>
      <c r="S60" s="195"/>
      <c r="T60" s="195"/>
      <c r="U60" s="195"/>
      <c r="V60" s="195"/>
      <c r="W60" s="195"/>
      <c r="X60" s="195"/>
      <c r="Y60" s="718"/>
      <c r="Z60" s="721"/>
      <c r="AA60" s="720"/>
      <c r="AB60" s="721">
        <v>43.6</v>
      </c>
      <c r="AC60" s="724"/>
      <c r="AD60" s="721"/>
      <c r="AE60" s="721"/>
      <c r="AF60" s="721"/>
      <c r="AG60" s="429"/>
    </row>
    <row r="61" spans="1:33" ht="18.75" customHeight="1" thickBot="1">
      <c r="A61" s="699">
        <v>42211</v>
      </c>
      <c r="B61" s="703" t="s">
        <v>535</v>
      </c>
      <c r="C61" s="1" t="s">
        <v>732</v>
      </c>
      <c r="D61" s="700" t="s">
        <v>536</v>
      </c>
      <c r="E61" s="705"/>
      <c r="F61" s="705" t="s">
        <v>1054</v>
      </c>
      <c r="G61" s="705"/>
      <c r="H61" s="710">
        <f t="shared" si="0"/>
        <v>0</v>
      </c>
      <c r="I61" s="710">
        <f t="shared" si="1"/>
        <v>25.5</v>
      </c>
      <c r="J61" s="711"/>
      <c r="K61" s="712"/>
      <c r="L61" s="713"/>
      <c r="M61" s="714"/>
      <c r="N61" s="697"/>
      <c r="O61" s="698"/>
      <c r="P61" s="716"/>
      <c r="Q61" s="717">
        <v>25.5</v>
      </c>
      <c r="R61" s="195"/>
      <c r="S61" s="195"/>
      <c r="T61" s="195"/>
      <c r="U61" s="195"/>
      <c r="V61" s="195"/>
      <c r="W61" s="195"/>
      <c r="X61" s="195"/>
      <c r="Y61" s="718"/>
      <c r="Z61" s="721"/>
      <c r="AA61" s="720"/>
      <c r="AB61" s="721"/>
      <c r="AC61" s="724">
        <v>25.5</v>
      </c>
      <c r="AD61" s="721"/>
      <c r="AE61" s="721"/>
      <c r="AF61" s="721"/>
      <c r="AG61" s="429"/>
    </row>
    <row r="62" spans="1:33" ht="18.75" customHeight="1" thickBot="1">
      <c r="A62" s="699">
        <v>42214</v>
      </c>
      <c r="B62" s="703" t="s">
        <v>537</v>
      </c>
      <c r="C62" s="1" t="s">
        <v>493</v>
      </c>
      <c r="D62" s="700" t="s">
        <v>538</v>
      </c>
      <c r="E62" s="705"/>
      <c r="F62" s="705" t="s">
        <v>1054</v>
      </c>
      <c r="G62" s="705"/>
      <c r="H62" s="710">
        <f t="shared" si="0"/>
        <v>0</v>
      </c>
      <c r="I62" s="710">
        <f t="shared" si="1"/>
        <v>46</v>
      </c>
      <c r="J62" s="711"/>
      <c r="K62" s="712"/>
      <c r="L62" s="713"/>
      <c r="M62" s="714"/>
      <c r="N62" s="697"/>
      <c r="O62" s="698"/>
      <c r="P62" s="716"/>
      <c r="Q62" s="717">
        <v>46</v>
      </c>
      <c r="R62" s="195"/>
      <c r="S62" s="195"/>
      <c r="T62" s="195"/>
      <c r="U62" s="195"/>
      <c r="V62" s="195"/>
      <c r="W62" s="195"/>
      <c r="X62" s="195"/>
      <c r="Y62" s="718"/>
      <c r="Z62" s="721"/>
      <c r="AA62" s="720"/>
      <c r="AB62" s="721"/>
      <c r="AC62" s="724">
        <v>46</v>
      </c>
      <c r="AD62" s="721"/>
      <c r="AE62" s="721"/>
      <c r="AF62" s="721"/>
      <c r="AG62" s="429"/>
    </row>
    <row r="63" spans="1:33" ht="18.75" customHeight="1" thickBot="1">
      <c r="A63" s="699">
        <v>39630</v>
      </c>
      <c r="B63" s="703" t="s">
        <v>967</v>
      </c>
      <c r="C63" s="1" t="s">
        <v>539</v>
      </c>
      <c r="D63" s="700" t="s">
        <v>540</v>
      </c>
      <c r="E63" s="705"/>
      <c r="F63" s="705"/>
      <c r="G63" s="705" t="s">
        <v>1054</v>
      </c>
      <c r="H63" s="710">
        <f aca="true" t="shared" si="2" ref="H63:H79">J63+L63+N63+P63</f>
        <v>487.18</v>
      </c>
      <c r="I63" s="710">
        <f t="shared" si="1"/>
        <v>0</v>
      </c>
      <c r="J63" s="711">
        <v>487.18</v>
      </c>
      <c r="K63" s="712"/>
      <c r="L63" s="713"/>
      <c r="M63" s="714"/>
      <c r="N63" s="697"/>
      <c r="O63" s="698"/>
      <c r="P63" s="716"/>
      <c r="Q63" s="717"/>
      <c r="R63" s="195"/>
      <c r="S63" s="195"/>
      <c r="T63" s="195"/>
      <c r="U63" s="195"/>
      <c r="V63" s="195">
        <v>487.18</v>
      </c>
      <c r="W63" s="195"/>
      <c r="X63" s="195"/>
      <c r="Y63" s="718"/>
      <c r="Z63" s="721"/>
      <c r="AA63" s="720"/>
      <c r="AB63" s="721"/>
      <c r="AC63" s="724"/>
      <c r="AD63" s="721"/>
      <c r="AE63" s="721"/>
      <c r="AF63" s="721"/>
      <c r="AG63" s="429"/>
    </row>
    <row r="64" spans="1:33" ht="18.75" customHeight="1" thickBot="1">
      <c r="A64" s="699">
        <v>39630</v>
      </c>
      <c r="B64" s="703" t="s">
        <v>986</v>
      </c>
      <c r="C64" s="1" t="s">
        <v>541</v>
      </c>
      <c r="D64" s="700" t="s">
        <v>542</v>
      </c>
      <c r="E64" s="705" t="s">
        <v>1054</v>
      </c>
      <c r="F64" s="705"/>
      <c r="G64" s="705"/>
      <c r="H64" s="710">
        <f t="shared" si="2"/>
        <v>237.56</v>
      </c>
      <c r="I64" s="710">
        <f t="shared" si="1"/>
        <v>0</v>
      </c>
      <c r="J64" s="711">
        <v>237.56</v>
      </c>
      <c r="K64" s="712"/>
      <c r="L64" s="713"/>
      <c r="M64" s="714"/>
      <c r="N64" s="697"/>
      <c r="O64" s="698"/>
      <c r="P64" s="716"/>
      <c r="Q64" s="717"/>
      <c r="R64" s="195"/>
      <c r="S64" s="195"/>
      <c r="T64" s="195"/>
      <c r="U64" s="195"/>
      <c r="V64" s="195"/>
      <c r="W64" s="195"/>
      <c r="X64" s="195">
        <v>237.56</v>
      </c>
      <c r="Y64" s="718"/>
      <c r="Z64" s="721"/>
      <c r="AA64" s="720"/>
      <c r="AB64" s="721"/>
      <c r="AC64" s="724"/>
      <c r="AD64" s="721"/>
      <c r="AE64" s="721"/>
      <c r="AF64" s="721"/>
      <c r="AG64" s="429"/>
    </row>
    <row r="65" spans="1:33" ht="18.75" customHeight="1" thickBot="1">
      <c r="A65" s="699">
        <v>39631</v>
      </c>
      <c r="B65" s="703" t="s">
        <v>1051</v>
      </c>
      <c r="C65" s="1" t="s">
        <v>785</v>
      </c>
      <c r="D65" s="700" t="s">
        <v>540</v>
      </c>
      <c r="E65" s="705"/>
      <c r="F65" s="705"/>
      <c r="G65" s="705" t="s">
        <v>1054</v>
      </c>
      <c r="H65" s="710">
        <f t="shared" si="2"/>
        <v>15.3</v>
      </c>
      <c r="I65" s="710">
        <f t="shared" si="1"/>
        <v>0</v>
      </c>
      <c r="J65" s="711">
        <v>15.3</v>
      </c>
      <c r="K65" s="712"/>
      <c r="L65" s="713"/>
      <c r="M65" s="714"/>
      <c r="N65" s="697"/>
      <c r="O65" s="698"/>
      <c r="P65" s="716"/>
      <c r="Q65" s="717"/>
      <c r="R65" s="195"/>
      <c r="S65" s="195">
        <v>15.3</v>
      </c>
      <c r="T65" s="195"/>
      <c r="U65" s="195"/>
      <c r="V65" s="195"/>
      <c r="W65" s="195"/>
      <c r="X65" s="195"/>
      <c r="Y65" s="718"/>
      <c r="Z65" s="721"/>
      <c r="AA65" s="720"/>
      <c r="AB65" s="721"/>
      <c r="AC65" s="724"/>
      <c r="AD65" s="721"/>
      <c r="AE65" s="721"/>
      <c r="AF65" s="721"/>
      <c r="AG65" s="429"/>
    </row>
    <row r="66" spans="1:33" ht="18.75" customHeight="1" thickBot="1">
      <c r="A66" s="699">
        <v>39632</v>
      </c>
      <c r="B66" s="703" t="s">
        <v>543</v>
      </c>
      <c r="C66" s="1" t="s">
        <v>541</v>
      </c>
      <c r="D66" s="700" t="s">
        <v>544</v>
      </c>
      <c r="E66" s="705" t="s">
        <v>1054</v>
      </c>
      <c r="F66" s="705"/>
      <c r="G66" s="705"/>
      <c r="H66" s="710">
        <f t="shared" si="2"/>
        <v>373</v>
      </c>
      <c r="I66" s="710">
        <f t="shared" si="1"/>
        <v>0</v>
      </c>
      <c r="J66" s="711">
        <v>373</v>
      </c>
      <c r="K66" s="712"/>
      <c r="L66" s="713"/>
      <c r="M66" s="714"/>
      <c r="N66" s="697"/>
      <c r="O66" s="698"/>
      <c r="P66" s="716"/>
      <c r="Q66" s="717"/>
      <c r="R66" s="195"/>
      <c r="S66" s="195"/>
      <c r="T66" s="195"/>
      <c r="U66" s="195"/>
      <c r="V66" s="195"/>
      <c r="W66" s="195"/>
      <c r="X66" s="195">
        <v>373</v>
      </c>
      <c r="Y66" s="718"/>
      <c r="Z66" s="721"/>
      <c r="AA66" s="720"/>
      <c r="AB66" s="721"/>
      <c r="AC66" s="724"/>
      <c r="AD66" s="721"/>
      <c r="AE66" s="721"/>
      <c r="AF66" s="721"/>
      <c r="AG66" s="429"/>
    </row>
    <row r="67" spans="1:33" ht="18.75" customHeight="1" thickBot="1">
      <c r="A67" s="699">
        <v>39635</v>
      </c>
      <c r="B67" s="703" t="s">
        <v>545</v>
      </c>
      <c r="C67" s="1" t="s">
        <v>541</v>
      </c>
      <c r="D67" s="700" t="s">
        <v>546</v>
      </c>
      <c r="E67" s="705" t="s">
        <v>1054</v>
      </c>
      <c r="F67" s="705"/>
      <c r="G67" s="705"/>
      <c r="H67" s="710">
        <f t="shared" si="2"/>
        <v>57.22</v>
      </c>
      <c r="I67" s="710">
        <f t="shared" si="1"/>
        <v>0</v>
      </c>
      <c r="J67" s="711">
        <v>57.22</v>
      </c>
      <c r="K67" s="712"/>
      <c r="L67" s="713"/>
      <c r="M67" s="714"/>
      <c r="N67" s="697"/>
      <c r="O67" s="698"/>
      <c r="P67" s="716"/>
      <c r="Q67" s="717"/>
      <c r="R67" s="195"/>
      <c r="S67" s="195"/>
      <c r="T67" s="195"/>
      <c r="U67" s="195"/>
      <c r="V67" s="195"/>
      <c r="W67" s="195"/>
      <c r="X67" s="195">
        <v>57.22</v>
      </c>
      <c r="Y67" s="718"/>
      <c r="Z67" s="721"/>
      <c r="AA67" s="720"/>
      <c r="AB67" s="721"/>
      <c r="AC67" s="724"/>
      <c r="AD67" s="721"/>
      <c r="AE67" s="721"/>
      <c r="AF67" s="721"/>
      <c r="AG67" s="429"/>
    </row>
    <row r="68" spans="1:33" ht="18.75" customHeight="1" thickBot="1">
      <c r="A68" s="699">
        <v>39636</v>
      </c>
      <c r="B68" s="703" t="s">
        <v>1055</v>
      </c>
      <c r="C68" s="1" t="s">
        <v>1055</v>
      </c>
      <c r="D68" s="700" t="s">
        <v>540</v>
      </c>
      <c r="E68" s="705"/>
      <c r="F68" s="705"/>
      <c r="G68" s="705" t="s">
        <v>1054</v>
      </c>
      <c r="H68" s="710">
        <f t="shared" si="2"/>
        <v>98.96</v>
      </c>
      <c r="I68" s="710">
        <f t="shared" si="1"/>
        <v>0</v>
      </c>
      <c r="J68" s="711">
        <v>98.96</v>
      </c>
      <c r="K68" s="712"/>
      <c r="L68" s="713"/>
      <c r="M68" s="714"/>
      <c r="N68" s="697"/>
      <c r="O68" s="698"/>
      <c r="P68" s="716"/>
      <c r="Q68" s="717"/>
      <c r="R68" s="195"/>
      <c r="S68" s="195"/>
      <c r="T68" s="195">
        <v>98.96</v>
      </c>
      <c r="U68" s="195"/>
      <c r="V68" s="195"/>
      <c r="W68" s="195"/>
      <c r="X68" s="195"/>
      <c r="Y68" s="718"/>
      <c r="Z68" s="721"/>
      <c r="AA68" s="720"/>
      <c r="AB68" s="721"/>
      <c r="AC68" s="724"/>
      <c r="AD68" s="721"/>
      <c r="AE68" s="721"/>
      <c r="AF68" s="721"/>
      <c r="AG68" s="429"/>
    </row>
    <row r="69" spans="1:33" ht="18.75" customHeight="1" thickBot="1">
      <c r="A69" s="699">
        <v>39635</v>
      </c>
      <c r="B69" s="703" t="s">
        <v>1051</v>
      </c>
      <c r="C69" s="1" t="s">
        <v>547</v>
      </c>
      <c r="D69" s="700"/>
      <c r="E69" s="705"/>
      <c r="F69" s="705"/>
      <c r="G69" s="705"/>
      <c r="H69" s="710">
        <f t="shared" si="2"/>
        <v>0</v>
      </c>
      <c r="I69" s="710">
        <f t="shared" si="1"/>
        <v>3920</v>
      </c>
      <c r="J69" s="711"/>
      <c r="K69" s="712">
        <v>3920</v>
      </c>
      <c r="L69" s="713"/>
      <c r="M69" s="714"/>
      <c r="N69" s="697"/>
      <c r="O69" s="698"/>
      <c r="P69" s="716"/>
      <c r="Q69" s="717"/>
      <c r="R69" s="195"/>
      <c r="S69" s="195"/>
      <c r="T69" s="195"/>
      <c r="U69" s="195"/>
      <c r="V69" s="195"/>
      <c r="W69" s="195"/>
      <c r="X69" s="195"/>
      <c r="Y69" s="718"/>
      <c r="Z69" s="721">
        <v>3920</v>
      </c>
      <c r="AA69" s="720"/>
      <c r="AB69" s="721"/>
      <c r="AC69" s="724"/>
      <c r="AD69" s="721"/>
      <c r="AE69" s="721"/>
      <c r="AF69" s="721"/>
      <c r="AG69" s="429"/>
    </row>
    <row r="70" spans="1:33" ht="18.75" customHeight="1" thickBot="1">
      <c r="A70" s="699">
        <v>39636</v>
      </c>
      <c r="B70" s="703" t="s">
        <v>1051</v>
      </c>
      <c r="C70" s="1" t="s">
        <v>548</v>
      </c>
      <c r="D70" s="700"/>
      <c r="E70" s="705"/>
      <c r="F70" s="705"/>
      <c r="G70" s="705"/>
      <c r="H70" s="710">
        <f t="shared" si="2"/>
        <v>0</v>
      </c>
      <c r="I70" s="710">
        <f t="shared" si="1"/>
        <v>2717.77</v>
      </c>
      <c r="J70" s="711"/>
      <c r="K70" s="712">
        <v>2717.77</v>
      </c>
      <c r="L70" s="713"/>
      <c r="M70" s="714"/>
      <c r="N70" s="697"/>
      <c r="O70" s="698"/>
      <c r="P70" s="716"/>
      <c r="Q70" s="717"/>
      <c r="R70" s="195"/>
      <c r="S70" s="195"/>
      <c r="T70" s="195"/>
      <c r="U70" s="195"/>
      <c r="V70" s="195"/>
      <c r="W70" s="195"/>
      <c r="X70" s="195"/>
      <c r="Y70" s="718"/>
      <c r="Z70" s="721"/>
      <c r="AA70" s="720"/>
      <c r="AB70" s="721">
        <v>2021.57</v>
      </c>
      <c r="AC70" s="724">
        <v>215.7</v>
      </c>
      <c r="AD70" s="721"/>
      <c r="AE70" s="721"/>
      <c r="AF70" s="721">
        <v>480.5</v>
      </c>
      <c r="AG70" s="429"/>
    </row>
    <row r="71" spans="1:33" ht="18.75" customHeight="1" thickBot="1">
      <c r="A71" s="699">
        <v>39637</v>
      </c>
      <c r="B71" s="703" t="s">
        <v>1057</v>
      </c>
      <c r="C71" s="1" t="s">
        <v>549</v>
      </c>
      <c r="D71" s="700" t="s">
        <v>550</v>
      </c>
      <c r="E71" s="705" t="s">
        <v>1054</v>
      </c>
      <c r="F71" s="705"/>
      <c r="G71" s="705"/>
      <c r="H71" s="710">
        <f t="shared" si="2"/>
        <v>16</v>
      </c>
      <c r="I71" s="710">
        <f t="shared" si="1"/>
        <v>0</v>
      </c>
      <c r="J71" s="711">
        <v>16</v>
      </c>
      <c r="K71" s="712"/>
      <c r="L71" s="713"/>
      <c r="M71" s="714"/>
      <c r="N71" s="697"/>
      <c r="O71" s="698"/>
      <c r="P71" s="716"/>
      <c r="Q71" s="717"/>
      <c r="R71" s="195">
        <v>16</v>
      </c>
      <c r="S71" s="195"/>
      <c r="T71" s="195"/>
      <c r="U71" s="195"/>
      <c r="V71" s="195"/>
      <c r="W71" s="195"/>
      <c r="X71" s="195"/>
      <c r="Y71" s="718"/>
      <c r="Z71" s="721"/>
      <c r="AA71" s="720"/>
      <c r="AB71" s="721"/>
      <c r="AC71" s="724"/>
      <c r="AD71" s="721"/>
      <c r="AE71" s="721"/>
      <c r="AF71" s="721"/>
      <c r="AG71" s="429"/>
    </row>
    <row r="72" spans="1:33" ht="18.75" customHeight="1" thickBot="1">
      <c r="A72" s="699">
        <v>39637</v>
      </c>
      <c r="B72" s="703" t="s">
        <v>1057</v>
      </c>
      <c r="C72" s="1" t="s">
        <v>549</v>
      </c>
      <c r="D72" s="700" t="s">
        <v>551</v>
      </c>
      <c r="E72" s="705" t="s">
        <v>1054</v>
      </c>
      <c r="F72" s="705"/>
      <c r="G72" s="705"/>
      <c r="H72" s="710">
        <f t="shared" si="2"/>
        <v>160</v>
      </c>
      <c r="I72" s="710">
        <f t="shared" si="1"/>
        <v>0</v>
      </c>
      <c r="J72" s="711">
        <v>160</v>
      </c>
      <c r="K72" s="712"/>
      <c r="L72" s="713"/>
      <c r="M72" s="714"/>
      <c r="N72" s="697"/>
      <c r="O72" s="698"/>
      <c r="P72" s="716"/>
      <c r="Q72" s="717"/>
      <c r="R72" s="195">
        <v>160</v>
      </c>
      <c r="S72" s="195"/>
      <c r="T72" s="195"/>
      <c r="U72" s="195"/>
      <c r="V72" s="195"/>
      <c r="W72" s="195"/>
      <c r="X72" s="195"/>
      <c r="Y72" s="718"/>
      <c r="Z72" s="721"/>
      <c r="AA72" s="720"/>
      <c r="AB72" s="721"/>
      <c r="AC72" s="724"/>
      <c r="AD72" s="721"/>
      <c r="AE72" s="721"/>
      <c r="AF72" s="721"/>
      <c r="AG72" s="429"/>
    </row>
    <row r="73" spans="1:33" ht="18.75" customHeight="1" thickBot="1">
      <c r="A73" s="699">
        <v>39638</v>
      </c>
      <c r="B73" s="703" t="s">
        <v>1055</v>
      </c>
      <c r="C73" s="1" t="s">
        <v>1055</v>
      </c>
      <c r="D73" s="700" t="s">
        <v>540</v>
      </c>
      <c r="E73" s="705"/>
      <c r="F73" s="705"/>
      <c r="G73" s="705" t="s">
        <v>1054</v>
      </c>
      <c r="H73" s="710">
        <f t="shared" si="2"/>
        <v>3.19</v>
      </c>
      <c r="I73" s="710">
        <f t="shared" si="1"/>
        <v>0</v>
      </c>
      <c r="J73" s="711">
        <v>3.19</v>
      </c>
      <c r="K73" s="712"/>
      <c r="L73" s="713"/>
      <c r="M73" s="714"/>
      <c r="N73" s="697"/>
      <c r="O73" s="698"/>
      <c r="P73" s="716"/>
      <c r="Q73" s="717"/>
      <c r="R73" s="195"/>
      <c r="S73" s="195"/>
      <c r="T73" s="195">
        <v>3.19</v>
      </c>
      <c r="U73" s="195"/>
      <c r="V73" s="195"/>
      <c r="W73" s="195"/>
      <c r="X73" s="195"/>
      <c r="Y73" s="718"/>
      <c r="Z73" s="721"/>
      <c r="AA73" s="720"/>
      <c r="AB73" s="721"/>
      <c r="AC73" s="724"/>
      <c r="AD73" s="721"/>
      <c r="AE73" s="721"/>
      <c r="AF73" s="721"/>
      <c r="AG73" s="429"/>
    </row>
    <row r="74" spans="1:33" ht="18.75" customHeight="1" thickBot="1">
      <c r="A74" s="699">
        <v>39639</v>
      </c>
      <c r="B74" s="703" t="s">
        <v>552</v>
      </c>
      <c r="C74" s="1" t="s">
        <v>553</v>
      </c>
      <c r="D74" s="700" t="s">
        <v>554</v>
      </c>
      <c r="E74" s="705" t="s">
        <v>1054</v>
      </c>
      <c r="F74" s="705"/>
      <c r="G74" s="705"/>
      <c r="H74" s="710">
        <f t="shared" si="2"/>
        <v>45.42</v>
      </c>
      <c r="I74" s="710">
        <f t="shared" si="1"/>
        <v>0</v>
      </c>
      <c r="J74" s="711">
        <v>45.42</v>
      </c>
      <c r="K74" s="712"/>
      <c r="L74" s="713"/>
      <c r="M74" s="714"/>
      <c r="N74" s="697"/>
      <c r="O74" s="698"/>
      <c r="P74" s="716"/>
      <c r="Q74" s="717"/>
      <c r="R74" s="195"/>
      <c r="S74" s="195"/>
      <c r="T74" s="195"/>
      <c r="U74" s="195"/>
      <c r="V74" s="195"/>
      <c r="W74" s="195"/>
      <c r="X74" s="195">
        <v>45.42</v>
      </c>
      <c r="Y74" s="718"/>
      <c r="Z74" s="721"/>
      <c r="AA74" s="720"/>
      <c r="AB74" s="721"/>
      <c r="AC74" s="724"/>
      <c r="AD74" s="721"/>
      <c r="AE74" s="721"/>
      <c r="AF74" s="721"/>
      <c r="AG74" s="429"/>
    </row>
    <row r="75" spans="1:33" ht="18.75" customHeight="1" thickBot="1">
      <c r="A75" s="699">
        <v>39642</v>
      </c>
      <c r="B75" s="703" t="s">
        <v>555</v>
      </c>
      <c r="C75" s="1" t="s">
        <v>556</v>
      </c>
      <c r="D75" s="700" t="s">
        <v>557</v>
      </c>
      <c r="E75" s="705" t="s">
        <v>1054</v>
      </c>
      <c r="F75" s="705"/>
      <c r="G75" s="705"/>
      <c r="H75" s="710">
        <f t="shared" si="2"/>
        <v>300</v>
      </c>
      <c r="I75" s="710">
        <f t="shared" si="1"/>
        <v>0</v>
      </c>
      <c r="J75" s="711">
        <v>300</v>
      </c>
      <c r="K75" s="712"/>
      <c r="L75" s="713"/>
      <c r="M75" s="714"/>
      <c r="N75" s="697"/>
      <c r="O75" s="698"/>
      <c r="P75" s="716"/>
      <c r="Q75" s="717"/>
      <c r="R75" s="195"/>
      <c r="S75" s="195"/>
      <c r="T75" s="195"/>
      <c r="U75" s="195"/>
      <c r="V75" s="195"/>
      <c r="W75" s="195">
        <v>300</v>
      </c>
      <c r="X75" s="195"/>
      <c r="Y75" s="718"/>
      <c r="Z75" s="721"/>
      <c r="AA75" s="720"/>
      <c r="AB75" s="721"/>
      <c r="AC75" s="724"/>
      <c r="AD75" s="721"/>
      <c r="AE75" s="721"/>
      <c r="AF75" s="721"/>
      <c r="AG75" s="429"/>
    </row>
    <row r="76" spans="1:33" ht="18.75" customHeight="1" thickBot="1">
      <c r="A76" s="699">
        <v>39646</v>
      </c>
      <c r="B76" s="703" t="s">
        <v>611</v>
      </c>
      <c r="C76" s="1" t="s">
        <v>558</v>
      </c>
      <c r="D76" s="700" t="s">
        <v>559</v>
      </c>
      <c r="E76" s="705" t="s">
        <v>1054</v>
      </c>
      <c r="F76" s="705"/>
      <c r="G76" s="705"/>
      <c r="H76" s="710">
        <f t="shared" si="2"/>
        <v>1424.05</v>
      </c>
      <c r="I76" s="710">
        <f t="shared" si="1"/>
        <v>0</v>
      </c>
      <c r="J76" s="711">
        <v>1424.05</v>
      </c>
      <c r="K76" s="712"/>
      <c r="L76" s="713"/>
      <c r="M76" s="714"/>
      <c r="N76" s="697"/>
      <c r="O76" s="698"/>
      <c r="P76" s="716"/>
      <c r="Q76" s="717"/>
      <c r="R76" s="195"/>
      <c r="S76" s="195"/>
      <c r="T76" s="195"/>
      <c r="U76" s="195"/>
      <c r="V76" s="195"/>
      <c r="W76" s="195">
        <v>1424.05</v>
      </c>
      <c r="X76" s="195"/>
      <c r="Y76" s="718"/>
      <c r="Z76" s="721"/>
      <c r="AA76" s="720"/>
      <c r="AB76" s="721"/>
      <c r="AC76" s="724"/>
      <c r="AD76" s="721"/>
      <c r="AE76" s="721"/>
      <c r="AF76" s="721"/>
      <c r="AG76" s="429"/>
    </row>
    <row r="77" spans="1:33" ht="18.75" customHeight="1" thickBot="1">
      <c r="A77" s="699">
        <v>39646</v>
      </c>
      <c r="B77" s="703" t="s">
        <v>989</v>
      </c>
      <c r="C77" s="1" t="s">
        <v>1056</v>
      </c>
      <c r="D77" s="700" t="s">
        <v>540</v>
      </c>
      <c r="E77" s="705"/>
      <c r="F77" s="705"/>
      <c r="G77" s="705" t="s">
        <v>1054</v>
      </c>
      <c r="H77" s="710">
        <f t="shared" si="2"/>
        <v>659.87</v>
      </c>
      <c r="I77" s="710">
        <f t="shared" si="1"/>
        <v>0</v>
      </c>
      <c r="J77" s="711">
        <v>659.87</v>
      </c>
      <c r="K77" s="712"/>
      <c r="L77" s="713"/>
      <c r="M77" s="714"/>
      <c r="N77" s="697"/>
      <c r="O77" s="698"/>
      <c r="P77" s="716"/>
      <c r="Q77" s="717"/>
      <c r="R77" s="195"/>
      <c r="S77" s="195"/>
      <c r="T77" s="195"/>
      <c r="U77" s="195">
        <v>659.87</v>
      </c>
      <c r="V77" s="195"/>
      <c r="W77" s="195"/>
      <c r="X77" s="195"/>
      <c r="Y77" s="718"/>
      <c r="Z77" s="721"/>
      <c r="AA77" s="720"/>
      <c r="AB77" s="721"/>
      <c r="AC77" s="724"/>
      <c r="AD77" s="721"/>
      <c r="AE77" s="721"/>
      <c r="AF77" s="721"/>
      <c r="AG77" s="429"/>
    </row>
    <row r="78" spans="1:33" ht="18.75" customHeight="1" thickBot="1">
      <c r="A78" s="699">
        <v>39653</v>
      </c>
      <c r="B78" s="703" t="s">
        <v>986</v>
      </c>
      <c r="C78" s="1" t="s">
        <v>560</v>
      </c>
      <c r="D78" s="700" t="s">
        <v>561</v>
      </c>
      <c r="E78" s="705" t="s">
        <v>1054</v>
      </c>
      <c r="F78" s="705"/>
      <c r="G78" s="705"/>
      <c r="H78" s="710">
        <f t="shared" si="2"/>
        <v>129.2</v>
      </c>
      <c r="I78" s="710">
        <f t="shared" si="1"/>
        <v>0</v>
      </c>
      <c r="J78" s="711">
        <v>129.2</v>
      </c>
      <c r="K78" s="712"/>
      <c r="L78" s="713"/>
      <c r="M78" s="714"/>
      <c r="N78" s="697"/>
      <c r="O78" s="698"/>
      <c r="P78" s="716"/>
      <c r="Q78" s="717"/>
      <c r="R78" s="195"/>
      <c r="S78" s="195"/>
      <c r="T78" s="195"/>
      <c r="U78" s="195">
        <v>129.2</v>
      </c>
      <c r="V78" s="195"/>
      <c r="W78" s="195"/>
      <c r="X78" s="195"/>
      <c r="Y78" s="718"/>
      <c r="Z78" s="721"/>
      <c r="AA78" s="720"/>
      <c r="AB78" s="721"/>
      <c r="AC78" s="724"/>
      <c r="AD78" s="721"/>
      <c r="AE78" s="721"/>
      <c r="AF78" s="721"/>
      <c r="AG78" s="429"/>
    </row>
    <row r="79" spans="1:33" ht="18.75" customHeight="1" thickBot="1">
      <c r="A79" s="699">
        <v>39653</v>
      </c>
      <c r="B79" s="703" t="s">
        <v>891</v>
      </c>
      <c r="C79" s="1" t="s">
        <v>562</v>
      </c>
      <c r="D79" s="700" t="s">
        <v>563</v>
      </c>
      <c r="E79" s="705" t="s">
        <v>1054</v>
      </c>
      <c r="F79" s="705"/>
      <c r="G79" s="705"/>
      <c r="H79" s="710">
        <f t="shared" si="2"/>
        <v>145</v>
      </c>
      <c r="I79" s="710">
        <f t="shared" si="1"/>
        <v>0</v>
      </c>
      <c r="J79" s="711">
        <v>145</v>
      </c>
      <c r="K79" s="712"/>
      <c r="L79" s="713"/>
      <c r="M79" s="714"/>
      <c r="N79" s="697"/>
      <c r="O79" s="698"/>
      <c r="P79" s="716"/>
      <c r="Q79" s="717"/>
      <c r="R79" s="195"/>
      <c r="S79" s="195"/>
      <c r="T79" s="195"/>
      <c r="U79" s="195"/>
      <c r="V79" s="195">
        <v>145</v>
      </c>
      <c r="W79" s="195"/>
      <c r="X79" s="195"/>
      <c r="Y79" s="718"/>
      <c r="Z79" s="721"/>
      <c r="AA79" s="720"/>
      <c r="AB79" s="721"/>
      <c r="AC79" s="724"/>
      <c r="AD79" s="721"/>
      <c r="AE79" s="721"/>
      <c r="AF79" s="721"/>
      <c r="AG79" s="429"/>
    </row>
    <row r="80" spans="1:33" ht="18.75" customHeight="1" thickBot="1">
      <c r="A80" s="726">
        <v>39656</v>
      </c>
      <c r="B80" s="703" t="s">
        <v>564</v>
      </c>
      <c r="C80" s="1" t="s">
        <v>565</v>
      </c>
      <c r="D80" s="700" t="s">
        <v>566</v>
      </c>
      <c r="E80" s="705" t="s">
        <v>1054</v>
      </c>
      <c r="F80" s="705"/>
      <c r="G80" s="705"/>
      <c r="H80" s="710">
        <f>J80+L80+M80+O80+P80</f>
        <v>255</v>
      </c>
      <c r="I80" s="710">
        <f>K80+M80+O80+Q80</f>
        <v>0</v>
      </c>
      <c r="J80" s="711">
        <v>255</v>
      </c>
      <c r="K80" s="712"/>
      <c r="L80" s="713"/>
      <c r="M80" s="714"/>
      <c r="N80" s="697"/>
      <c r="O80" s="698"/>
      <c r="P80" s="716"/>
      <c r="Q80" s="717"/>
      <c r="R80" s="195"/>
      <c r="S80" s="195"/>
      <c r="T80" s="195">
        <v>255</v>
      </c>
      <c r="U80" s="195"/>
      <c r="V80" s="195"/>
      <c r="W80" s="195"/>
      <c r="X80" s="195"/>
      <c r="Y80" s="718"/>
      <c r="Z80" s="721"/>
      <c r="AA80" s="720"/>
      <c r="AB80" s="721"/>
      <c r="AC80" s="724"/>
      <c r="AD80" s="721"/>
      <c r="AE80" s="721"/>
      <c r="AF80" s="721"/>
      <c r="AG80" s="429"/>
    </row>
    <row r="81" spans="1:33" ht="18.75" customHeight="1" thickBot="1">
      <c r="A81" s="699">
        <v>39660</v>
      </c>
      <c r="B81" s="703" t="s">
        <v>567</v>
      </c>
      <c r="C81" s="1" t="s">
        <v>568</v>
      </c>
      <c r="D81" s="700" t="s">
        <v>569</v>
      </c>
      <c r="E81" s="705" t="s">
        <v>1054</v>
      </c>
      <c r="F81" s="705"/>
      <c r="G81" s="705"/>
      <c r="H81" s="710">
        <f>J81+L81+N81+P81</f>
        <v>17.65</v>
      </c>
      <c r="I81" s="710">
        <f>K81+M81+O81+Q81</f>
        <v>0</v>
      </c>
      <c r="J81" s="711">
        <v>17.65</v>
      </c>
      <c r="K81" s="712"/>
      <c r="L81" s="713"/>
      <c r="M81" s="714"/>
      <c r="N81" s="697"/>
      <c r="O81" s="698"/>
      <c r="P81" s="716"/>
      <c r="Q81" s="717"/>
      <c r="R81" s="195"/>
      <c r="S81" s="195"/>
      <c r="T81" s="195"/>
      <c r="U81" s="195"/>
      <c r="V81" s="195">
        <v>17.65</v>
      </c>
      <c r="W81" s="195"/>
      <c r="X81" s="195"/>
      <c r="Y81" s="718"/>
      <c r="Z81" s="721"/>
      <c r="AA81" s="720"/>
      <c r="AB81" s="721"/>
      <c r="AC81" s="724"/>
      <c r="AD81" s="721"/>
      <c r="AE81" s="721"/>
      <c r="AF81" s="721"/>
      <c r="AG81" s="429"/>
    </row>
    <row r="82" spans="1:33" ht="18.75" customHeight="1" thickBot="1">
      <c r="A82" s="699">
        <v>39660</v>
      </c>
      <c r="B82" s="703" t="s">
        <v>347</v>
      </c>
      <c r="C82" s="1" t="s">
        <v>348</v>
      </c>
      <c r="D82" s="700" t="s">
        <v>569</v>
      </c>
      <c r="E82" s="705" t="s">
        <v>1054</v>
      </c>
      <c r="F82" s="705"/>
      <c r="G82" s="705"/>
      <c r="H82" s="710">
        <f>J82+L82+N82+P80</f>
        <v>825.6</v>
      </c>
      <c r="I82" s="710">
        <f>K82+M82+O82+Q82</f>
        <v>0</v>
      </c>
      <c r="J82" s="711">
        <v>825.6</v>
      </c>
      <c r="K82" s="712"/>
      <c r="L82" s="713"/>
      <c r="M82" s="714"/>
      <c r="N82" s="697"/>
      <c r="O82" s="698"/>
      <c r="P82" s="716"/>
      <c r="Q82" s="717"/>
      <c r="R82" s="195"/>
      <c r="S82" s="195"/>
      <c r="T82" s="195">
        <v>825.6</v>
      </c>
      <c r="U82" s="195"/>
      <c r="V82" s="647"/>
      <c r="W82" s="195"/>
      <c r="X82" s="195"/>
      <c r="Y82" s="718"/>
      <c r="Z82" s="721"/>
      <c r="AA82" s="720"/>
      <c r="AB82" s="721"/>
      <c r="AC82" s="724"/>
      <c r="AD82" s="721"/>
      <c r="AE82" s="721"/>
      <c r="AF82" s="721"/>
      <c r="AG82" s="429"/>
    </row>
    <row r="83" spans="1:33" ht="18.75" customHeight="1" thickBot="1">
      <c r="A83" s="699">
        <v>39660</v>
      </c>
      <c r="B83" s="703" t="s">
        <v>1051</v>
      </c>
      <c r="C83" s="1" t="s">
        <v>548</v>
      </c>
      <c r="D83" s="700"/>
      <c r="E83" s="705"/>
      <c r="F83" s="705"/>
      <c r="G83" s="705"/>
      <c r="H83" s="710">
        <f>J83+L83+N83+P83</f>
        <v>0</v>
      </c>
      <c r="I83" s="710">
        <f>K83+M83+O83+Q83</f>
        <v>621.22</v>
      </c>
      <c r="J83" s="711"/>
      <c r="K83" s="712">
        <v>621.22</v>
      </c>
      <c r="L83" s="713"/>
      <c r="M83" s="714"/>
      <c r="N83" s="697"/>
      <c r="O83" s="698"/>
      <c r="P83" s="716"/>
      <c r="Q83" s="717"/>
      <c r="R83" s="195"/>
      <c r="S83" s="195"/>
      <c r="T83" s="195"/>
      <c r="U83" s="195"/>
      <c r="V83" s="195"/>
      <c r="W83" s="195"/>
      <c r="X83" s="195"/>
      <c r="Y83" s="718"/>
      <c r="Z83" s="721"/>
      <c r="AA83" s="720"/>
      <c r="AB83" s="721">
        <v>360.32</v>
      </c>
      <c r="AC83" s="724">
        <v>260.9</v>
      </c>
      <c r="AD83" s="721"/>
      <c r="AE83" s="721"/>
      <c r="AF83" s="721"/>
      <c r="AG83" s="429"/>
    </row>
    <row r="84" spans="1:33" ht="18.75" customHeight="1" thickBot="1">
      <c r="A84" s="699">
        <v>39635</v>
      </c>
      <c r="B84" s="703" t="s">
        <v>1051</v>
      </c>
      <c r="C84" s="1" t="s">
        <v>547</v>
      </c>
      <c r="D84" s="700"/>
      <c r="E84" s="705"/>
      <c r="F84" s="705"/>
      <c r="G84" s="705"/>
      <c r="H84" s="710">
        <f>J84+L84+N84+P84</f>
        <v>3920</v>
      </c>
      <c r="I84" s="710">
        <f>K84+M84+O84+Q84</f>
        <v>0</v>
      </c>
      <c r="J84" s="711"/>
      <c r="K84" s="712"/>
      <c r="L84" s="713"/>
      <c r="M84" s="714"/>
      <c r="N84" s="697"/>
      <c r="O84" s="698"/>
      <c r="P84" s="716">
        <v>3920</v>
      </c>
      <c r="Q84" s="717"/>
      <c r="R84" s="195"/>
      <c r="S84" s="195"/>
      <c r="T84" s="195"/>
      <c r="U84" s="195"/>
      <c r="V84" s="195"/>
      <c r="W84" s="195"/>
      <c r="X84" s="195"/>
      <c r="Y84" s="718">
        <v>3920</v>
      </c>
      <c r="Z84" s="721"/>
      <c r="AA84" s="720"/>
      <c r="AB84" s="721"/>
      <c r="AC84" s="724"/>
      <c r="AD84" s="721"/>
      <c r="AE84" s="721"/>
      <c r="AF84" s="721"/>
      <c r="AG84" s="429"/>
    </row>
    <row r="85" spans="1:33" ht="18.75" customHeight="1" thickBot="1">
      <c r="A85" s="699">
        <v>42207</v>
      </c>
      <c r="B85" s="703" t="s">
        <v>349</v>
      </c>
      <c r="C85" s="1" t="s">
        <v>732</v>
      </c>
      <c r="D85" s="700"/>
      <c r="E85" s="705"/>
      <c r="F85" s="705" t="s">
        <v>1054</v>
      </c>
      <c r="G85" s="705"/>
      <c r="H85" s="710">
        <f t="shared" si="0"/>
        <v>0</v>
      </c>
      <c r="I85" s="710">
        <f t="shared" si="1"/>
        <v>24</v>
      </c>
      <c r="J85" s="711"/>
      <c r="K85" s="712"/>
      <c r="L85" s="713"/>
      <c r="M85" s="714"/>
      <c r="N85" s="697"/>
      <c r="O85" s="698"/>
      <c r="P85" s="716"/>
      <c r="Q85" s="717">
        <v>24</v>
      </c>
      <c r="R85" s="195"/>
      <c r="S85" s="195"/>
      <c r="T85" s="195"/>
      <c r="U85" s="195"/>
      <c r="V85" s="195"/>
      <c r="W85" s="195"/>
      <c r="X85" s="195"/>
      <c r="Y85" s="718"/>
      <c r="Z85" s="721"/>
      <c r="AA85" s="720"/>
      <c r="AB85" s="721"/>
      <c r="AC85" s="724">
        <v>24</v>
      </c>
      <c r="AD85" s="721"/>
      <c r="AE85" s="721"/>
      <c r="AF85" s="721"/>
      <c r="AG85" s="429"/>
    </row>
    <row r="86" spans="1:32" ht="18.75" customHeight="1" thickBot="1">
      <c r="A86" s="270"/>
      <c r="B86" s="435"/>
      <c r="C86" s="435" t="s">
        <v>350</v>
      </c>
      <c r="D86" s="436"/>
      <c r="E86" s="437"/>
      <c r="F86" s="437"/>
      <c r="G86" s="437"/>
      <c r="H86" s="438">
        <f>SUM(H8:H85)</f>
        <v>9170.2</v>
      </c>
      <c r="I86" s="439">
        <f aca="true" t="shared" si="3" ref="I86:AF86">SUM(I8:I85)</f>
        <v>10466.59</v>
      </c>
      <c r="J86" s="440">
        <f t="shared" si="3"/>
        <v>5250.2</v>
      </c>
      <c r="K86" s="440">
        <f t="shared" si="3"/>
        <v>7258.990000000001</v>
      </c>
      <c r="L86" s="440">
        <f t="shared" si="3"/>
        <v>0</v>
      </c>
      <c r="M86" s="440">
        <f t="shared" si="3"/>
        <v>0</v>
      </c>
      <c r="N86" s="440">
        <f t="shared" si="3"/>
        <v>0</v>
      </c>
      <c r="O86" s="440">
        <f t="shared" si="3"/>
        <v>0</v>
      </c>
      <c r="P86" s="440">
        <f t="shared" si="3"/>
        <v>3920</v>
      </c>
      <c r="Q86" s="440">
        <f t="shared" si="3"/>
        <v>3207.6</v>
      </c>
      <c r="R86" s="440">
        <f t="shared" si="3"/>
        <v>176</v>
      </c>
      <c r="S86" s="440">
        <f t="shared" si="3"/>
        <v>15.3</v>
      </c>
      <c r="T86" s="440">
        <f t="shared" si="3"/>
        <v>1182.75</v>
      </c>
      <c r="U86" s="440">
        <f t="shared" si="3"/>
        <v>789.0699999999999</v>
      </c>
      <c r="V86" s="440">
        <f t="shared" si="3"/>
        <v>649.83</v>
      </c>
      <c r="W86" s="440">
        <f t="shared" si="3"/>
        <v>1724.05</v>
      </c>
      <c r="X86" s="440">
        <f t="shared" si="3"/>
        <v>713.1999999999999</v>
      </c>
      <c r="Y86" s="440">
        <f t="shared" si="3"/>
        <v>3920</v>
      </c>
      <c r="Z86" s="440">
        <f t="shared" si="3"/>
        <v>3920</v>
      </c>
      <c r="AA86" s="440">
        <f t="shared" si="3"/>
        <v>0</v>
      </c>
      <c r="AB86" s="440">
        <f t="shared" si="3"/>
        <v>2485.64</v>
      </c>
      <c r="AC86" s="440">
        <f t="shared" si="3"/>
        <v>2010.1999999999998</v>
      </c>
      <c r="AD86" s="440">
        <f t="shared" si="3"/>
        <v>0</v>
      </c>
      <c r="AE86" s="440">
        <f t="shared" si="3"/>
        <v>0</v>
      </c>
      <c r="AF86" s="440">
        <f t="shared" si="3"/>
        <v>2050.75</v>
      </c>
    </row>
    <row r="87" spans="2:32" ht="12">
      <c r="B87" s="441"/>
      <c r="C87" s="441"/>
      <c r="D87" s="442"/>
      <c r="E87" s="422"/>
      <c r="F87" s="422"/>
      <c r="G87" s="422"/>
      <c r="H87" s="443"/>
      <c r="I87" s="443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</row>
    <row r="88" spans="1:32" s="445" customFormat="1" ht="22.5" customHeight="1" thickBot="1">
      <c r="A88" s="453"/>
      <c r="B88" s="446"/>
      <c r="C88" s="446"/>
      <c r="D88" s="397"/>
      <c r="E88" s="397"/>
      <c r="F88" s="397"/>
      <c r="G88" s="447" t="s">
        <v>1066</v>
      </c>
      <c r="H88" s="448">
        <f>(J86+L86+N86+P86)-Y86</f>
        <v>5250.200000000001</v>
      </c>
      <c r="J88" s="449"/>
      <c r="K88" s="400"/>
      <c r="N88" s="449"/>
      <c r="O88" s="449" t="s">
        <v>1067</v>
      </c>
      <c r="P88" s="450">
        <f>(K86+M86+O86+Q86)-Z86</f>
        <v>6546.59</v>
      </c>
      <c r="Q88" s="451"/>
      <c r="T88" s="449" t="s">
        <v>1068</v>
      </c>
      <c r="U88" s="549">
        <f>(R86+S86+T86+U86+V86+W86+X86)</f>
        <v>5250.2</v>
      </c>
      <c r="V88" s="453"/>
      <c r="W88" s="453"/>
      <c r="X88" s="453"/>
      <c r="Y88" s="454"/>
      <c r="AA88" s="455"/>
      <c r="AC88" s="447" t="s">
        <v>810</v>
      </c>
      <c r="AD88" s="550">
        <f>(AA86+AB86+AC86+AD86+AE86+AF86)</f>
        <v>6546.59</v>
      </c>
      <c r="AE88" s="453"/>
      <c r="AF88" s="453"/>
    </row>
    <row r="89" spans="1:32" s="457" customFormat="1" ht="18.75" customHeight="1" thickBot="1">
      <c r="A89" s="503"/>
      <c r="B89" s="458"/>
      <c r="C89" s="459" t="s">
        <v>351</v>
      </c>
      <c r="D89" s="460"/>
      <c r="E89" s="397"/>
      <c r="F89" s="397"/>
      <c r="G89" s="461"/>
      <c r="H89" s="462">
        <f aca="true" t="shared" si="4" ref="H89:AF89">SUM(H3+H86)</f>
        <v>45435.95</v>
      </c>
      <c r="I89" s="463">
        <f t="shared" si="4"/>
        <v>56721.62000000001</v>
      </c>
      <c r="J89" s="464">
        <f t="shared" si="4"/>
        <v>41515.95</v>
      </c>
      <c r="K89" s="464">
        <f t="shared" si="4"/>
        <v>52204.65</v>
      </c>
      <c r="L89" s="464">
        <f t="shared" si="4"/>
        <v>0</v>
      </c>
      <c r="M89" s="464">
        <f t="shared" si="4"/>
        <v>63232.73</v>
      </c>
      <c r="N89" s="464">
        <f t="shared" si="4"/>
        <v>0</v>
      </c>
      <c r="O89" s="464">
        <f t="shared" si="4"/>
        <v>77741.76</v>
      </c>
      <c r="P89" s="464">
        <f t="shared" si="4"/>
        <v>3920</v>
      </c>
      <c r="Q89" s="464">
        <f t="shared" si="4"/>
        <v>6474.860000000001</v>
      </c>
      <c r="R89" s="464">
        <f t="shared" si="4"/>
        <v>2586.4100000000003</v>
      </c>
      <c r="S89" s="464">
        <f t="shared" si="4"/>
        <v>137.7</v>
      </c>
      <c r="T89" s="464">
        <f t="shared" si="4"/>
        <v>3691.83</v>
      </c>
      <c r="U89" s="464">
        <f t="shared" si="4"/>
        <v>7067.6</v>
      </c>
      <c r="V89" s="464">
        <f t="shared" si="4"/>
        <v>7310.950000000001</v>
      </c>
      <c r="W89" s="464">
        <f t="shared" si="4"/>
        <v>6098.090000000001</v>
      </c>
      <c r="X89" s="464">
        <f t="shared" si="4"/>
        <v>2623.37</v>
      </c>
      <c r="Y89" s="464">
        <f t="shared" si="4"/>
        <v>15920</v>
      </c>
      <c r="Z89" s="464">
        <f t="shared" si="4"/>
        <v>15920</v>
      </c>
      <c r="AA89" s="464">
        <f t="shared" si="4"/>
        <v>0</v>
      </c>
      <c r="AB89" s="464">
        <f t="shared" si="4"/>
        <v>33782.13</v>
      </c>
      <c r="AC89" s="464">
        <f t="shared" si="4"/>
        <v>2970.1</v>
      </c>
      <c r="AD89" s="464">
        <f t="shared" si="4"/>
        <v>100</v>
      </c>
      <c r="AE89" s="464">
        <f t="shared" si="4"/>
        <v>1237.54</v>
      </c>
      <c r="AF89" s="464">
        <f t="shared" si="4"/>
        <v>2711.85</v>
      </c>
    </row>
    <row r="90" spans="1:32" s="457" customFormat="1" ht="12.75" thickBot="1">
      <c r="A90" s="503"/>
      <c r="B90" s="458"/>
      <c r="C90" s="458"/>
      <c r="D90" s="460"/>
      <c r="E90" s="397"/>
      <c r="F90" s="397"/>
      <c r="G90" s="461"/>
      <c r="H90" s="465"/>
      <c r="I90" s="466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  <c r="AF90" s="467"/>
    </row>
    <row r="91" spans="1:32" s="445" customFormat="1" ht="18.75" customHeight="1" thickBot="1">
      <c r="A91" s="453"/>
      <c r="B91" s="458"/>
      <c r="C91" s="468"/>
      <c r="D91" s="397"/>
      <c r="E91" s="397"/>
      <c r="F91" s="397"/>
      <c r="G91" s="447" t="s">
        <v>887</v>
      </c>
      <c r="H91" s="469">
        <f>(J89+L89+P89)-Y89</f>
        <v>29515.949999999997</v>
      </c>
      <c r="J91" s="449"/>
      <c r="K91" s="400"/>
      <c r="M91" s="449" t="s">
        <v>938</v>
      </c>
      <c r="N91" s="449"/>
      <c r="O91" s="449"/>
      <c r="P91" s="450">
        <f>(K89+M89+O89+Q89)-Y89</f>
        <v>183734</v>
      </c>
      <c r="Q91" s="451"/>
      <c r="R91" s="449" t="s">
        <v>887</v>
      </c>
      <c r="S91" s="452">
        <f>(R89+S89+T89+U89+V89+W89+X89)</f>
        <v>29515.95</v>
      </c>
      <c r="T91" s="453"/>
      <c r="U91" s="453"/>
      <c r="V91" s="453"/>
      <c r="W91" s="453"/>
      <c r="X91" s="453"/>
      <c r="Y91" s="470"/>
      <c r="AA91" s="455"/>
      <c r="AB91" s="447" t="s">
        <v>1069</v>
      </c>
      <c r="AC91" s="456">
        <f>(AA89+AB89+AC89+AD89+AE89+AF89)</f>
        <v>40801.619999999995</v>
      </c>
      <c r="AD91" s="453"/>
      <c r="AE91" s="453"/>
      <c r="AF91" s="453"/>
    </row>
    <row r="92" spans="2:28" ht="18.75" customHeight="1" thickBot="1">
      <c r="B92" s="458"/>
      <c r="C92" s="471" t="s">
        <v>654</v>
      </c>
      <c r="D92" s="673" t="s">
        <v>1071</v>
      </c>
      <c r="E92" s="473"/>
      <c r="F92" s="473"/>
      <c r="G92" s="473"/>
      <c r="H92" s="474">
        <f>Juin15!H89</f>
        <v>8679.909999999996</v>
      </c>
      <c r="I92" s="475"/>
      <c r="J92" s="476" t="s">
        <v>1072</v>
      </c>
      <c r="K92" s="474">
        <f>Juin15!K89</f>
        <v>63232.73</v>
      </c>
      <c r="L92" s="477"/>
      <c r="M92" s="343" t="s">
        <v>1073</v>
      </c>
      <c r="N92" s="609">
        <f>Juin15!N89</f>
        <v>77741.76</v>
      </c>
      <c r="O92" s="477"/>
      <c r="P92" s="478" t="s">
        <v>981</v>
      </c>
      <c r="Q92" s="474">
        <f>Juin15!Q89</f>
        <v>3267.26</v>
      </c>
      <c r="AB92" s="479"/>
    </row>
    <row r="93" spans="1:28" s="480" customFormat="1" ht="12.75" thickBot="1">
      <c r="A93" s="487"/>
      <c r="B93" s="425"/>
      <c r="C93" s="481" t="s">
        <v>894</v>
      </c>
      <c r="D93" s="674"/>
      <c r="E93" s="397"/>
      <c r="F93" s="397"/>
      <c r="G93" s="397"/>
      <c r="H93" s="483"/>
      <c r="I93" s="484"/>
      <c r="J93" s="483"/>
      <c r="K93" s="483"/>
      <c r="L93" s="484"/>
      <c r="M93" s="484"/>
      <c r="N93" s="484"/>
      <c r="O93" s="484"/>
      <c r="P93" s="483"/>
      <c r="Q93" s="400"/>
      <c r="R93" s="485"/>
      <c r="S93" s="476" t="s">
        <v>1074</v>
      </c>
      <c r="T93" s="486"/>
      <c r="U93" s="487"/>
      <c r="V93" s="487"/>
      <c r="W93" s="487"/>
      <c r="X93" s="476" t="s">
        <v>1075</v>
      </c>
      <c r="Y93" s="488"/>
      <c r="Z93" s="486"/>
      <c r="AB93" s="405"/>
    </row>
    <row r="94" spans="2:28" ht="18.75" customHeight="1" thickBot="1" thickTop="1">
      <c r="B94" s="489"/>
      <c r="C94" s="490" t="s">
        <v>352</v>
      </c>
      <c r="D94" s="675" t="s">
        <v>1071</v>
      </c>
      <c r="E94" s="492"/>
      <c r="F94" s="492"/>
      <c r="G94" s="492"/>
      <c r="H94" s="493">
        <f>SUM(H92+K86)-(J86)</f>
        <v>10688.699999999997</v>
      </c>
      <c r="I94" s="494"/>
      <c r="J94" s="495" t="s">
        <v>1072</v>
      </c>
      <c r="K94" s="493">
        <f>K92+M86-L86</f>
        <v>63232.73</v>
      </c>
      <c r="M94" s="343" t="s">
        <v>1073</v>
      </c>
      <c r="N94" s="602">
        <f>N92+O86-N86</f>
        <v>77741.76</v>
      </c>
      <c r="P94" s="495" t="s">
        <v>981</v>
      </c>
      <c r="Q94" s="493">
        <f>SUM(Q92+Q86)-(P86)</f>
        <v>2554.8600000000006</v>
      </c>
      <c r="R94" s="496"/>
      <c r="S94" s="495" t="s">
        <v>1077</v>
      </c>
      <c r="T94" s="497"/>
      <c r="X94" s="495" t="s">
        <v>898</v>
      </c>
      <c r="Y94" s="498"/>
      <c r="Z94" s="497"/>
      <c r="AB94" s="499"/>
    </row>
    <row r="95" spans="2:28" ht="18.75" customHeight="1" thickTop="1">
      <c r="B95" s="489"/>
      <c r="C95" s="489"/>
      <c r="D95" s="677"/>
      <c r="E95" s="422"/>
      <c r="F95" s="422"/>
      <c r="G95" s="422"/>
      <c r="H95" s="541"/>
      <c r="I95" s="494"/>
      <c r="J95" s="496"/>
      <c r="K95" s="541"/>
      <c r="M95" s="353"/>
      <c r="N95" s="611"/>
      <c r="P95" s="496"/>
      <c r="Q95" s="541"/>
      <c r="R95" s="496"/>
      <c r="S95" s="496"/>
      <c r="T95" s="540"/>
      <c r="X95" s="496"/>
      <c r="Y95" s="498"/>
      <c r="Z95" s="540"/>
      <c r="AB95" s="499"/>
    </row>
    <row r="96" spans="1:28" s="457" customFormat="1" ht="12">
      <c r="A96" s="503"/>
      <c r="B96" s="446" t="s">
        <v>899</v>
      </c>
      <c r="C96" s="500"/>
      <c r="D96" s="676" t="s">
        <v>900</v>
      </c>
      <c r="E96" s="502"/>
      <c r="F96" s="502"/>
      <c r="G96" s="502"/>
      <c r="H96" s="503"/>
      <c r="I96" s="501" t="s">
        <v>901</v>
      </c>
      <c r="J96" s="503"/>
      <c r="K96" s="503"/>
      <c r="L96" s="501" t="s">
        <v>902</v>
      </c>
      <c r="M96" s="501"/>
      <c r="N96" s="501"/>
      <c r="O96" s="501"/>
      <c r="P96" s="503"/>
      <c r="Q96" s="503"/>
      <c r="R96" s="501" t="s">
        <v>903</v>
      </c>
      <c r="S96" s="400"/>
      <c r="T96" s="501" t="s">
        <v>900</v>
      </c>
      <c r="U96" s="400"/>
      <c r="V96" s="400"/>
      <c r="W96" s="400"/>
      <c r="X96" s="501" t="s">
        <v>901</v>
      </c>
      <c r="Y96" s="504"/>
      <c r="Z96" s="503"/>
      <c r="AB96" s="501" t="s">
        <v>902</v>
      </c>
    </row>
    <row r="97" spans="1:28" s="457" customFormat="1" ht="12">
      <c r="A97" s="503"/>
      <c r="B97" s="446"/>
      <c r="C97" s="500"/>
      <c r="D97" s="676"/>
      <c r="E97" s="502"/>
      <c r="F97" s="502"/>
      <c r="G97" s="502"/>
      <c r="H97" s="503"/>
      <c r="I97" s="501"/>
      <c r="J97" s="503"/>
      <c r="K97" s="503"/>
      <c r="L97" s="501"/>
      <c r="M97" s="501"/>
      <c r="N97" s="501"/>
      <c r="O97" s="501"/>
      <c r="P97" s="503"/>
      <c r="Q97" s="503"/>
      <c r="R97" s="501"/>
      <c r="S97" s="400"/>
      <c r="T97" s="501"/>
      <c r="U97" s="400"/>
      <c r="V97" s="400"/>
      <c r="W97" s="400"/>
      <c r="X97" s="501"/>
      <c r="Y97" s="504"/>
      <c r="Z97" s="503"/>
      <c r="AB97" s="505"/>
    </row>
    <row r="98" spans="1:28" s="506" customFormat="1" ht="12">
      <c r="A98" s="511"/>
      <c r="B98" s="533" t="s">
        <v>904</v>
      </c>
      <c r="C98" s="507"/>
      <c r="D98" s="508" t="s">
        <v>578</v>
      </c>
      <c r="E98" s="508"/>
      <c r="F98" s="508"/>
      <c r="H98" s="509"/>
      <c r="I98" s="510"/>
      <c r="J98" s="511"/>
      <c r="K98" s="511"/>
      <c r="L98" s="510"/>
      <c r="M98" s="510"/>
      <c r="N98" s="510"/>
      <c r="O98" s="510"/>
      <c r="P98" s="511"/>
      <c r="Q98" s="511"/>
      <c r="R98" s="510" t="s">
        <v>904</v>
      </c>
      <c r="S98" s="400"/>
      <c r="T98" s="511" t="s">
        <v>578</v>
      </c>
      <c r="U98" s="400"/>
      <c r="V98" s="400"/>
      <c r="W98" s="400"/>
      <c r="X98" s="510"/>
      <c r="Y98" s="512"/>
      <c r="Z98" s="509"/>
      <c r="AB98" s="513"/>
    </row>
    <row r="99" spans="1:28" s="506" customFormat="1" ht="36.75" customHeight="1">
      <c r="A99" s="511"/>
      <c r="B99" s="533"/>
      <c r="C99" s="507"/>
      <c r="D99" s="508"/>
      <c r="E99" s="508"/>
      <c r="F99" s="508"/>
      <c r="H99" s="509"/>
      <c r="I99" s="510"/>
      <c r="J99" s="511"/>
      <c r="K99" s="511"/>
      <c r="L99" s="510"/>
      <c r="M99" s="510"/>
      <c r="N99" s="510"/>
      <c r="O99" s="510"/>
      <c r="P99" s="511"/>
      <c r="Q99" s="511"/>
      <c r="R99" s="510"/>
      <c r="S99" s="400"/>
      <c r="T99" s="511"/>
      <c r="U99" s="400"/>
      <c r="V99" s="400"/>
      <c r="W99" s="400"/>
      <c r="X99" s="510"/>
      <c r="Y99" s="512"/>
      <c r="Z99" s="509"/>
      <c r="AB99" s="513"/>
    </row>
    <row r="100" spans="3:28" ht="18.75" customHeight="1">
      <c r="C100" s="514"/>
      <c r="D100" s="515"/>
      <c r="E100" s="516"/>
      <c r="F100" s="516"/>
      <c r="G100" s="517"/>
      <c r="H100" s="518">
        <f>H94+K94+N94+Q94</f>
        <v>154218.05</v>
      </c>
      <c r="AB100" s="519"/>
    </row>
    <row r="101" ht="18.75" customHeight="1">
      <c r="J101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X117"/>
  <sheetViews>
    <sheetView zoomScale="140" zoomScaleNormal="140" zoomScalePageLayoutView="0" workbookViewId="0" topLeftCell="I1">
      <pane ySplit="8" topLeftCell="A78" activePane="bottomLeft" state="frozen"/>
      <selection pane="topLeft" activeCell="A1" sqref="A1"/>
      <selection pane="bottomLeft" activeCell="O98" sqref="O98"/>
    </sheetView>
  </sheetViews>
  <sheetFormatPr defaultColWidth="11.7109375" defaultRowHeight="12.75"/>
  <cols>
    <col min="1" max="1" width="7.8515625" style="407" customWidth="1"/>
    <col min="2" max="2" width="14.7109375" style="398" customWidth="1"/>
    <col min="3" max="3" width="31.421875" style="520" customWidth="1"/>
    <col min="4" max="4" width="11.421875" style="403" customWidth="1"/>
    <col min="5" max="7" width="4.140625" style="397" customWidth="1"/>
    <col min="8" max="9" width="12.7109375" style="401" customWidth="1"/>
    <col min="10" max="17" width="12.7109375" style="400" customWidth="1"/>
    <col min="18" max="18" width="10.7109375" style="400" customWidth="1"/>
    <col min="19" max="19" width="11.421875" style="400" customWidth="1"/>
    <col min="20" max="22" width="10.7109375" style="400" customWidth="1"/>
    <col min="23" max="23" width="12.00390625" style="400" customWidth="1"/>
    <col min="24" max="24" width="10.7109375" style="400" customWidth="1"/>
    <col min="25" max="25" width="12.00390625" style="409" customWidth="1"/>
    <col min="26" max="26" width="12.00390625" style="727" customWidth="1"/>
    <col min="27" max="27" width="10.7109375" style="407" customWidth="1"/>
    <col min="28" max="28" width="12.00390625" style="522" customWidth="1"/>
    <col min="29" max="29" width="12.00390625" style="407" customWidth="1"/>
    <col min="30" max="32" width="10.7109375" style="407" customWidth="1"/>
    <col min="33" max="16384" width="11.7109375" style="407" customWidth="1"/>
  </cols>
  <sheetData>
    <row r="1" spans="2:38" s="397" customFormat="1" ht="16.5" customHeight="1">
      <c r="B1" s="398"/>
      <c r="C1" s="55" t="s">
        <v>942</v>
      </c>
      <c r="D1" s="399"/>
      <c r="H1" s="400" t="s">
        <v>1016</v>
      </c>
      <c r="I1" s="401"/>
      <c r="J1" s="402" t="s">
        <v>579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746">
        <v>42217</v>
      </c>
      <c r="AB1" s="405"/>
      <c r="AK1" s="406" t="s">
        <v>969</v>
      </c>
      <c r="AL1" s="406" t="s">
        <v>970</v>
      </c>
    </row>
    <row r="2" spans="2:38" ht="12" customHeight="1" thickBot="1">
      <c r="B2" s="407"/>
      <c r="C2" s="408"/>
      <c r="D2" s="407"/>
      <c r="H2" s="400"/>
      <c r="I2" s="400"/>
      <c r="AB2" s="405"/>
      <c r="AK2" s="410" t="s">
        <v>971</v>
      </c>
      <c r="AL2" s="411" t="s">
        <v>972</v>
      </c>
    </row>
    <row r="3" spans="3:38" s="412" customFormat="1" ht="19.5" customHeight="1" thickBot="1">
      <c r="C3" s="413"/>
      <c r="D3" s="414"/>
      <c r="E3" s="832" t="s">
        <v>1018</v>
      </c>
      <c r="F3" s="833"/>
      <c r="G3" s="834"/>
      <c r="H3" s="415">
        <f>JuiL15!H89</f>
        <v>45435.95</v>
      </c>
      <c r="I3" s="415">
        <f>JuiL15!I89</f>
        <v>56721.62000000001</v>
      </c>
      <c r="J3" s="415">
        <f>JuiL15!J89</f>
        <v>41515.95</v>
      </c>
      <c r="K3" s="415">
        <f>JuiL15!K89</f>
        <v>52204.65</v>
      </c>
      <c r="L3" s="415">
        <f>JuiL15!L89</f>
        <v>0</v>
      </c>
      <c r="M3" s="415">
        <f>JuiL15!M89</f>
        <v>63232.73</v>
      </c>
      <c r="N3" s="415">
        <f>JuiL15!N89</f>
        <v>0</v>
      </c>
      <c r="O3" s="415">
        <f>JuiL15!O89</f>
        <v>77741.76</v>
      </c>
      <c r="P3" s="415">
        <f>JuiL15!P89</f>
        <v>3920</v>
      </c>
      <c r="Q3" s="415">
        <f>JuiL15!Q89</f>
        <v>6474.860000000001</v>
      </c>
      <c r="R3" s="415">
        <f>JuiL15!R89</f>
        <v>2586.4100000000003</v>
      </c>
      <c r="S3" s="415">
        <f>JuiL15!S89</f>
        <v>137.7</v>
      </c>
      <c r="T3" s="415">
        <f>JuiL15!T89</f>
        <v>3691.83</v>
      </c>
      <c r="U3" s="415">
        <f>JuiL15!U89</f>
        <v>7067.6</v>
      </c>
      <c r="V3" s="415">
        <f>JuiL15!V89</f>
        <v>7310.950000000001</v>
      </c>
      <c r="W3" s="415">
        <f>JuiL15!W89</f>
        <v>6098.090000000001</v>
      </c>
      <c r="X3" s="415">
        <f>JuiL15!X89</f>
        <v>2623.37</v>
      </c>
      <c r="Y3" s="415">
        <f>JuiL15!Y89</f>
        <v>15920</v>
      </c>
      <c r="Z3" s="728">
        <f>JuiL15!Z89</f>
        <v>15920</v>
      </c>
      <c r="AA3" s="415">
        <f>JuiL15!AA89</f>
        <v>0</v>
      </c>
      <c r="AB3" s="415">
        <f>JuiL15!AB89</f>
        <v>33782.13</v>
      </c>
      <c r="AC3" s="415">
        <f>JuiL15!AC89</f>
        <v>2970.1</v>
      </c>
      <c r="AD3" s="415">
        <f>JuiL15!AD89</f>
        <v>100</v>
      </c>
      <c r="AE3" s="415">
        <f>JuiL15!AE89</f>
        <v>1237.54</v>
      </c>
      <c r="AF3" s="415">
        <f>JuiL15!AF89</f>
        <v>2711.85</v>
      </c>
      <c r="AK3" s="410" t="s">
        <v>973</v>
      </c>
      <c r="AL3" s="410" t="s">
        <v>974</v>
      </c>
    </row>
    <row r="4" spans="2:38" s="412" customFormat="1" ht="14.25" customHeight="1" thickBot="1"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63">
        <v>58</v>
      </c>
      <c r="Z4" s="864"/>
      <c r="AA4" s="857" t="s">
        <v>945</v>
      </c>
      <c r="AB4" s="838"/>
      <c r="AC4" s="838"/>
      <c r="AD4" s="838"/>
      <c r="AE4" s="838"/>
      <c r="AF4" s="839"/>
      <c r="AK4" s="410" t="s">
        <v>979</v>
      </c>
      <c r="AL4" s="410" t="s">
        <v>980</v>
      </c>
    </row>
    <row r="5" spans="2:38" s="419" customFormat="1" ht="12.75" customHeight="1"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729" t="s">
        <v>1026</v>
      </c>
      <c r="AA5" s="858"/>
      <c r="AB5" s="840"/>
      <c r="AC5" s="840"/>
      <c r="AD5" s="840"/>
      <c r="AE5" s="840"/>
      <c r="AF5" s="841"/>
      <c r="AK5" s="410" t="s">
        <v>981</v>
      </c>
      <c r="AL5" s="410" t="s">
        <v>982</v>
      </c>
    </row>
    <row r="6" spans="2:38" ht="13.5" customHeight="1" thickBot="1">
      <c r="B6" s="425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730" t="s">
        <v>1027</v>
      </c>
      <c r="AA6" s="859"/>
      <c r="AB6" s="842"/>
      <c r="AC6" s="842"/>
      <c r="AD6" s="842"/>
      <c r="AE6" s="842"/>
      <c r="AF6" s="843"/>
      <c r="AK6" s="410" t="s">
        <v>987</v>
      </c>
      <c r="AL6" s="410" t="s">
        <v>988</v>
      </c>
    </row>
    <row r="7" spans="1:232" s="62" customFormat="1" ht="22.5" customHeight="1">
      <c r="A7" s="183" t="s">
        <v>1028</v>
      </c>
      <c r="B7" s="56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600" t="s">
        <v>1034</v>
      </c>
      <c r="I7" s="579" t="s">
        <v>1035</v>
      </c>
      <c r="J7" s="600" t="s">
        <v>1036</v>
      </c>
      <c r="K7" s="579" t="s">
        <v>1037</v>
      </c>
      <c r="L7" s="600" t="s">
        <v>1036</v>
      </c>
      <c r="M7" s="579" t="s">
        <v>1037</v>
      </c>
      <c r="N7" s="600" t="s">
        <v>1036</v>
      </c>
      <c r="O7" s="579" t="s">
        <v>1037</v>
      </c>
      <c r="P7" s="600" t="s">
        <v>1036</v>
      </c>
      <c r="Q7" s="579" t="s">
        <v>1037</v>
      </c>
      <c r="R7" s="65" t="s">
        <v>1038</v>
      </c>
      <c r="S7" s="58" t="s">
        <v>580</v>
      </c>
      <c r="T7" s="58" t="s">
        <v>1040</v>
      </c>
      <c r="U7" s="58" t="s">
        <v>581</v>
      </c>
      <c r="V7" s="58" t="s">
        <v>359</v>
      </c>
      <c r="W7" s="58" t="s">
        <v>913</v>
      </c>
      <c r="X7" s="58" t="s">
        <v>1044</v>
      </c>
      <c r="Y7" s="63" t="s">
        <v>1026</v>
      </c>
      <c r="Z7" s="731" t="s">
        <v>1026</v>
      </c>
      <c r="AA7" s="65" t="s">
        <v>360</v>
      </c>
      <c r="AB7" s="58" t="s">
        <v>361</v>
      </c>
      <c r="AC7" s="58" t="s">
        <v>585</v>
      </c>
      <c r="AD7" s="58" t="s">
        <v>586</v>
      </c>
      <c r="AE7" s="58" t="s">
        <v>587</v>
      </c>
      <c r="AF7" s="58" t="s">
        <v>588</v>
      </c>
      <c r="AG7" s="66"/>
      <c r="AH7" s="66"/>
      <c r="AK7" s="410" t="s">
        <v>989</v>
      </c>
      <c r="AL7" s="410" t="s">
        <v>990</v>
      </c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8" s="425" customFormat="1" ht="19.5" customHeight="1">
      <c r="A8" s="581" t="s">
        <v>589</v>
      </c>
      <c r="B8" s="283" t="s">
        <v>590</v>
      </c>
      <c r="C8" s="286" t="s">
        <v>673</v>
      </c>
      <c r="D8" s="272" t="s">
        <v>757</v>
      </c>
      <c r="E8" s="293"/>
      <c r="F8" s="293" t="s">
        <v>1054</v>
      </c>
      <c r="G8" s="273"/>
      <c r="H8" s="687">
        <f>J8+L8+N8+P8</f>
        <v>0</v>
      </c>
      <c r="I8" s="687">
        <f>K8+M8+O8+Q8</f>
        <v>29.7</v>
      </c>
      <c r="J8" s="288"/>
      <c r="K8" s="276"/>
      <c r="L8" s="277"/>
      <c r="M8" s="278"/>
      <c r="N8" s="649"/>
      <c r="O8" s="688"/>
      <c r="P8" s="279"/>
      <c r="Q8" s="280">
        <v>29.7</v>
      </c>
      <c r="R8" s="195"/>
      <c r="S8" s="195"/>
      <c r="T8" s="195"/>
      <c r="U8" s="195"/>
      <c r="V8" s="195"/>
      <c r="W8" s="195"/>
      <c r="X8" s="195"/>
      <c r="Y8" s="428"/>
      <c r="Z8" s="732"/>
      <c r="AA8" s="281"/>
      <c r="AB8" s="282"/>
      <c r="AC8" s="282">
        <v>29.7</v>
      </c>
      <c r="AD8" s="282"/>
      <c r="AE8" s="282"/>
      <c r="AF8" s="282"/>
      <c r="AG8" s="531"/>
      <c r="AK8" s="410" t="s">
        <v>991</v>
      </c>
      <c r="AL8" s="410" t="s">
        <v>992</v>
      </c>
    </row>
    <row r="9" spans="1:38" s="425" customFormat="1" ht="19.5" customHeight="1">
      <c r="A9" s="270" t="s">
        <v>370</v>
      </c>
      <c r="B9" s="620" t="s">
        <v>371</v>
      </c>
      <c r="C9" s="532" t="s">
        <v>493</v>
      </c>
      <c r="D9" s="272" t="s">
        <v>372</v>
      </c>
      <c r="E9" s="273"/>
      <c r="F9" s="273" t="s">
        <v>1054</v>
      </c>
      <c r="G9" s="273"/>
      <c r="H9" s="687">
        <f aca="true" t="shared" si="0" ref="H9:H45">J9+L9+N9+P9</f>
        <v>0</v>
      </c>
      <c r="I9" s="687">
        <f aca="true" t="shared" si="1" ref="I9:I45">K9+M9+O9+Q9</f>
        <v>27.8</v>
      </c>
      <c r="J9" s="288"/>
      <c r="K9" s="276"/>
      <c r="L9" s="277"/>
      <c r="M9" s="278"/>
      <c r="N9" s="689"/>
      <c r="O9" s="690"/>
      <c r="P9" s="279"/>
      <c r="Q9" s="280">
        <v>27.8</v>
      </c>
      <c r="R9" s="195"/>
      <c r="S9" s="195"/>
      <c r="T9" s="195"/>
      <c r="U9" s="195"/>
      <c r="V9" s="195"/>
      <c r="W9" s="195"/>
      <c r="X9" s="195"/>
      <c r="Y9" s="428"/>
      <c r="Z9" s="732"/>
      <c r="AA9" s="281"/>
      <c r="AB9" s="282"/>
      <c r="AC9" s="282">
        <v>27.8</v>
      </c>
      <c r="AD9" s="282"/>
      <c r="AE9" s="282"/>
      <c r="AF9" s="282"/>
      <c r="AG9" s="531"/>
      <c r="AK9" s="410" t="s">
        <v>993</v>
      </c>
      <c r="AL9" s="430" t="s">
        <v>994</v>
      </c>
    </row>
    <row r="10" spans="1:38" ht="19.5" customHeight="1">
      <c r="A10" s="581" t="s">
        <v>370</v>
      </c>
      <c r="B10" s="271" t="s">
        <v>373</v>
      </c>
      <c r="C10" s="271" t="s">
        <v>493</v>
      </c>
      <c r="D10" s="273" t="s">
        <v>374</v>
      </c>
      <c r="E10" s="273"/>
      <c r="F10" s="273" t="s">
        <v>1054</v>
      </c>
      <c r="G10" s="273"/>
      <c r="H10" s="687">
        <f t="shared" si="0"/>
        <v>0</v>
      </c>
      <c r="I10" s="687">
        <f t="shared" si="1"/>
        <v>23</v>
      </c>
      <c r="J10" s="288"/>
      <c r="K10" s="276"/>
      <c r="L10" s="277"/>
      <c r="M10" s="278"/>
      <c r="N10" s="391"/>
      <c r="O10" s="545"/>
      <c r="P10" s="279"/>
      <c r="Q10" s="280">
        <v>23</v>
      </c>
      <c r="R10" s="195"/>
      <c r="S10" s="195"/>
      <c r="T10" s="195"/>
      <c r="U10" s="195"/>
      <c r="V10" s="195"/>
      <c r="W10" s="195"/>
      <c r="X10" s="195"/>
      <c r="Y10" s="428"/>
      <c r="Z10" s="732"/>
      <c r="AA10" s="281"/>
      <c r="AB10" s="282"/>
      <c r="AC10" s="282">
        <v>23</v>
      </c>
      <c r="AD10" s="282"/>
      <c r="AE10" s="282"/>
      <c r="AF10" s="282"/>
      <c r="AG10" s="429"/>
      <c r="AK10" s="410" t="s">
        <v>995</v>
      </c>
      <c r="AL10" s="410" t="s">
        <v>996</v>
      </c>
    </row>
    <row r="11" spans="1:38" ht="19.5" customHeight="1">
      <c r="A11" s="581" t="s">
        <v>370</v>
      </c>
      <c r="B11" s="271" t="s">
        <v>375</v>
      </c>
      <c r="C11" s="271" t="s">
        <v>732</v>
      </c>
      <c r="D11" s="273" t="s">
        <v>376</v>
      </c>
      <c r="E11" s="273"/>
      <c r="F11" s="273" t="s">
        <v>1054</v>
      </c>
      <c r="G11" s="273"/>
      <c r="H11" s="687"/>
      <c r="I11" s="687">
        <f>K11+M11+O11+Q11</f>
        <v>24</v>
      </c>
      <c r="J11" s="288"/>
      <c r="K11" s="276"/>
      <c r="L11" s="277"/>
      <c r="M11" s="278"/>
      <c r="N11" s="391"/>
      <c r="O11" s="545"/>
      <c r="P11" s="279"/>
      <c r="Q11" s="280">
        <v>24</v>
      </c>
      <c r="R11" s="195"/>
      <c r="S11" s="195"/>
      <c r="T11" s="195"/>
      <c r="U11" s="195"/>
      <c r="V11" s="195"/>
      <c r="W11" s="195"/>
      <c r="X11" s="195"/>
      <c r="Y11" s="428"/>
      <c r="Z11" s="732"/>
      <c r="AA11" s="281"/>
      <c r="AB11" s="282"/>
      <c r="AC11" s="282">
        <v>24</v>
      </c>
      <c r="AD11" s="282"/>
      <c r="AE11" s="282"/>
      <c r="AF11" s="282"/>
      <c r="AG11" s="429"/>
      <c r="AK11" s="410"/>
      <c r="AL11" s="410"/>
    </row>
    <row r="12" spans="1:38" s="425" customFormat="1" ht="19.5" customHeight="1">
      <c r="A12" s="270" t="s">
        <v>370</v>
      </c>
      <c r="B12" s="283" t="s">
        <v>377</v>
      </c>
      <c r="C12" s="286" t="s">
        <v>732</v>
      </c>
      <c r="D12" s="272" t="s">
        <v>378</v>
      </c>
      <c r="E12" s="273"/>
      <c r="F12" s="273" t="s">
        <v>1054</v>
      </c>
      <c r="G12" s="273"/>
      <c r="H12" s="687">
        <f t="shared" si="0"/>
        <v>0</v>
      </c>
      <c r="I12" s="687">
        <f t="shared" si="1"/>
        <v>8.5</v>
      </c>
      <c r="J12" s="275"/>
      <c r="K12" s="276"/>
      <c r="L12" s="277"/>
      <c r="M12" s="278"/>
      <c r="N12" s="391"/>
      <c r="O12" s="545"/>
      <c r="P12" s="279"/>
      <c r="Q12" s="280">
        <v>8.5</v>
      </c>
      <c r="R12" s="195"/>
      <c r="S12" s="195"/>
      <c r="T12" s="195"/>
      <c r="U12" s="195"/>
      <c r="V12" s="195"/>
      <c r="W12" s="195"/>
      <c r="X12" s="195"/>
      <c r="Y12" s="428"/>
      <c r="Z12" s="732"/>
      <c r="AA12" s="281"/>
      <c r="AB12" s="282"/>
      <c r="AC12" s="282">
        <v>8.5</v>
      </c>
      <c r="AD12" s="282"/>
      <c r="AE12" s="282"/>
      <c r="AF12" s="282"/>
      <c r="AG12" s="531"/>
      <c r="AK12" s="410" t="s">
        <v>997</v>
      </c>
      <c r="AL12" s="410" t="s">
        <v>998</v>
      </c>
    </row>
    <row r="13" spans="1:38" s="425" customFormat="1" ht="19.5" customHeight="1">
      <c r="A13" s="270" t="s">
        <v>379</v>
      </c>
      <c r="B13" s="289" t="s">
        <v>380</v>
      </c>
      <c r="C13" s="271" t="s">
        <v>732</v>
      </c>
      <c r="D13" s="272" t="s">
        <v>381</v>
      </c>
      <c r="E13" s="273"/>
      <c r="F13" s="273" t="s">
        <v>1064</v>
      </c>
      <c r="G13" s="273"/>
      <c r="H13" s="687">
        <f t="shared" si="0"/>
        <v>0</v>
      </c>
      <c r="I13" s="687">
        <f t="shared" si="1"/>
        <v>10.8</v>
      </c>
      <c r="J13" s="275"/>
      <c r="K13" s="276"/>
      <c r="L13" s="277"/>
      <c r="M13" s="278"/>
      <c r="N13" s="391"/>
      <c r="O13" s="545"/>
      <c r="P13" s="279"/>
      <c r="Q13" s="280">
        <v>10.8</v>
      </c>
      <c r="R13" s="195"/>
      <c r="S13" s="195"/>
      <c r="T13" s="195"/>
      <c r="U13" s="195"/>
      <c r="V13" s="195"/>
      <c r="W13" s="195"/>
      <c r="X13" s="195"/>
      <c r="Y13" s="428"/>
      <c r="Z13" s="732"/>
      <c r="AA13" s="281"/>
      <c r="AB13" s="282"/>
      <c r="AC13" s="282">
        <v>10.8</v>
      </c>
      <c r="AD13" s="282"/>
      <c r="AE13" s="282"/>
      <c r="AF13" s="282"/>
      <c r="AG13" s="531"/>
      <c r="AK13" s="410" t="s">
        <v>999</v>
      </c>
      <c r="AL13" s="410" t="s">
        <v>1000</v>
      </c>
    </row>
    <row r="14" spans="1:38" ht="19.5" customHeight="1">
      <c r="A14" s="270" t="s">
        <v>379</v>
      </c>
      <c r="B14" s="283" t="s">
        <v>382</v>
      </c>
      <c r="C14" s="271" t="s">
        <v>732</v>
      </c>
      <c r="D14" s="272" t="s">
        <v>383</v>
      </c>
      <c r="E14" s="273"/>
      <c r="F14" s="273" t="s">
        <v>1064</v>
      </c>
      <c r="G14" s="273"/>
      <c r="H14" s="687">
        <f t="shared" si="0"/>
        <v>0</v>
      </c>
      <c r="I14" s="687">
        <f t="shared" si="1"/>
        <v>12</v>
      </c>
      <c r="J14" s="288"/>
      <c r="K14" s="276"/>
      <c r="L14" s="277"/>
      <c r="M14" s="278"/>
      <c r="N14" s="391"/>
      <c r="O14" s="545"/>
      <c r="P14" s="279"/>
      <c r="Q14" s="280">
        <v>12</v>
      </c>
      <c r="R14" s="195"/>
      <c r="S14" s="195"/>
      <c r="T14" s="195"/>
      <c r="U14" s="195"/>
      <c r="V14" s="195"/>
      <c r="W14" s="195"/>
      <c r="X14" s="195"/>
      <c r="Y14" s="428"/>
      <c r="Z14" s="732"/>
      <c r="AA14" s="281"/>
      <c r="AB14" s="282"/>
      <c r="AC14" s="282">
        <v>12</v>
      </c>
      <c r="AD14" s="282"/>
      <c r="AE14" s="282"/>
      <c r="AF14" s="282"/>
      <c r="AG14" s="429"/>
      <c r="AK14" s="410" t="s">
        <v>1001</v>
      </c>
      <c r="AL14" s="410" t="s">
        <v>1002</v>
      </c>
    </row>
    <row r="15" spans="1:38" s="425" customFormat="1" ht="19.5" customHeight="1">
      <c r="A15" s="270" t="s">
        <v>384</v>
      </c>
      <c r="B15" s="283" t="s">
        <v>385</v>
      </c>
      <c r="C15" s="271" t="s">
        <v>732</v>
      </c>
      <c r="D15" s="272" t="s">
        <v>386</v>
      </c>
      <c r="E15" s="273"/>
      <c r="F15" s="273" t="s">
        <v>1054</v>
      </c>
      <c r="G15" s="273"/>
      <c r="H15" s="687">
        <f t="shared" si="0"/>
        <v>0</v>
      </c>
      <c r="I15" s="687">
        <f t="shared" si="1"/>
        <v>8.5</v>
      </c>
      <c r="J15" s="288"/>
      <c r="K15" s="276"/>
      <c r="L15" s="277"/>
      <c r="M15" s="278"/>
      <c r="N15" s="391"/>
      <c r="O15" s="545"/>
      <c r="P15" s="279"/>
      <c r="Q15" s="280">
        <v>8.5</v>
      </c>
      <c r="R15" s="195"/>
      <c r="S15" s="195"/>
      <c r="T15" s="195"/>
      <c r="U15" s="195"/>
      <c r="V15" s="195"/>
      <c r="W15" s="195"/>
      <c r="X15" s="195"/>
      <c r="Y15" s="428"/>
      <c r="Z15" s="732"/>
      <c r="AA15" s="281"/>
      <c r="AB15" s="282"/>
      <c r="AC15" s="282">
        <v>8.5</v>
      </c>
      <c r="AD15" s="282"/>
      <c r="AE15" s="282"/>
      <c r="AF15" s="282"/>
      <c r="AG15" s="678"/>
      <c r="AK15" s="410"/>
      <c r="AL15" s="410" t="s">
        <v>1003</v>
      </c>
    </row>
    <row r="16" spans="1:38" s="606" customFormat="1" ht="19.5" customHeight="1">
      <c r="A16" s="607" t="s">
        <v>387</v>
      </c>
      <c r="B16" s="664" t="s">
        <v>388</v>
      </c>
      <c r="C16" s="286" t="s">
        <v>732</v>
      </c>
      <c r="D16" s="287" t="s">
        <v>389</v>
      </c>
      <c r="E16" s="293"/>
      <c r="F16" s="293" t="s">
        <v>1054</v>
      </c>
      <c r="G16" s="293"/>
      <c r="H16" s="687">
        <f t="shared" si="0"/>
        <v>0</v>
      </c>
      <c r="I16" s="687">
        <f t="shared" si="1"/>
        <v>12</v>
      </c>
      <c r="J16" s="288"/>
      <c r="K16" s="276"/>
      <c r="L16" s="799"/>
      <c r="M16" s="800"/>
      <c r="N16" s="391"/>
      <c r="O16" s="545"/>
      <c r="P16" s="279"/>
      <c r="Q16" s="280">
        <v>12</v>
      </c>
      <c r="R16" s="195"/>
      <c r="S16" s="195"/>
      <c r="T16" s="195"/>
      <c r="U16" s="195"/>
      <c r="V16" s="195"/>
      <c r="W16" s="195"/>
      <c r="X16" s="195"/>
      <c r="Y16" s="782"/>
      <c r="Z16" s="783"/>
      <c r="AA16" s="654"/>
      <c r="AB16" s="199"/>
      <c r="AC16" s="199">
        <v>12</v>
      </c>
      <c r="AD16" s="199"/>
      <c r="AE16" s="199"/>
      <c r="AF16" s="199"/>
      <c r="AG16" s="679"/>
      <c r="AK16" s="680" t="s">
        <v>736</v>
      </c>
      <c r="AL16" s="680" t="s">
        <v>737</v>
      </c>
    </row>
    <row r="17" spans="1:38" s="425" customFormat="1" ht="19.5" customHeight="1">
      <c r="A17" s="270" t="s">
        <v>387</v>
      </c>
      <c r="B17" s="283" t="s">
        <v>390</v>
      </c>
      <c r="C17" s="271" t="s">
        <v>493</v>
      </c>
      <c r="D17" s="272" t="s">
        <v>391</v>
      </c>
      <c r="E17" s="293"/>
      <c r="F17" s="293" t="s">
        <v>1054</v>
      </c>
      <c r="G17" s="293"/>
      <c r="H17" s="687">
        <f t="shared" si="0"/>
        <v>0</v>
      </c>
      <c r="I17" s="687">
        <f t="shared" si="1"/>
        <v>23</v>
      </c>
      <c r="J17" s="288"/>
      <c r="K17" s="276"/>
      <c r="L17" s="277"/>
      <c r="M17" s="278"/>
      <c r="N17" s="391"/>
      <c r="O17" s="545"/>
      <c r="P17" s="279"/>
      <c r="Q17" s="280">
        <v>23</v>
      </c>
      <c r="R17" s="195"/>
      <c r="S17" s="195"/>
      <c r="T17" s="195"/>
      <c r="U17" s="195"/>
      <c r="V17" s="195"/>
      <c r="W17" s="195"/>
      <c r="X17" s="195"/>
      <c r="Y17" s="428"/>
      <c r="Z17" s="732"/>
      <c r="AA17" s="281"/>
      <c r="AB17" s="282"/>
      <c r="AC17" s="282">
        <v>23</v>
      </c>
      <c r="AD17" s="282"/>
      <c r="AE17" s="282"/>
      <c r="AF17" s="282"/>
      <c r="AG17" s="678"/>
      <c r="AK17" s="681"/>
      <c r="AL17" s="681"/>
    </row>
    <row r="18" spans="1:33" ht="19.5" customHeight="1">
      <c r="A18" s="607" t="s">
        <v>387</v>
      </c>
      <c r="B18" s="283" t="s">
        <v>392</v>
      </c>
      <c r="C18" s="271" t="s">
        <v>493</v>
      </c>
      <c r="D18" s="287" t="s">
        <v>393</v>
      </c>
      <c r="E18" s="293"/>
      <c r="F18" s="293" t="s">
        <v>1054</v>
      </c>
      <c r="G18" s="293"/>
      <c r="H18" s="687">
        <f t="shared" si="0"/>
        <v>0</v>
      </c>
      <c r="I18" s="687">
        <f t="shared" si="1"/>
        <v>50.8</v>
      </c>
      <c r="J18" s="275"/>
      <c r="K18" s="276"/>
      <c r="L18" s="277"/>
      <c r="M18" s="278"/>
      <c r="N18" s="391"/>
      <c r="O18" s="545"/>
      <c r="P18" s="279"/>
      <c r="Q18" s="280">
        <v>50.8</v>
      </c>
      <c r="R18" s="195"/>
      <c r="S18" s="195"/>
      <c r="T18" s="195"/>
      <c r="U18" s="195"/>
      <c r="V18" s="195"/>
      <c r="W18" s="195"/>
      <c r="X18" s="195"/>
      <c r="Y18" s="428"/>
      <c r="Z18" s="732"/>
      <c r="AA18" s="281"/>
      <c r="AB18" s="282"/>
      <c r="AC18" s="282">
        <v>50.8</v>
      </c>
      <c r="AD18" s="282"/>
      <c r="AE18" s="282"/>
      <c r="AF18" s="282"/>
      <c r="AG18" s="429"/>
    </row>
    <row r="19" spans="1:33" ht="19.5" customHeight="1">
      <c r="A19" s="270" t="s">
        <v>394</v>
      </c>
      <c r="B19" s="283" t="s">
        <v>395</v>
      </c>
      <c r="C19" s="271" t="s">
        <v>396</v>
      </c>
      <c r="D19" s="272" t="s">
        <v>397</v>
      </c>
      <c r="E19" s="293"/>
      <c r="F19" s="293" t="s">
        <v>1054</v>
      </c>
      <c r="G19" s="293"/>
      <c r="H19" s="687">
        <f t="shared" si="0"/>
        <v>0</v>
      </c>
      <c r="I19" s="687">
        <f t="shared" si="1"/>
        <v>59.4</v>
      </c>
      <c r="J19" s="275"/>
      <c r="K19" s="276"/>
      <c r="L19" s="277"/>
      <c r="M19" s="278"/>
      <c r="N19" s="391"/>
      <c r="O19" s="545"/>
      <c r="P19" s="279"/>
      <c r="Q19" s="280">
        <v>59.4</v>
      </c>
      <c r="R19" s="195"/>
      <c r="S19" s="195"/>
      <c r="T19" s="195"/>
      <c r="U19" s="195"/>
      <c r="V19" s="195"/>
      <c r="W19" s="195"/>
      <c r="X19" s="195"/>
      <c r="Y19" s="428"/>
      <c r="Z19" s="732"/>
      <c r="AA19" s="281"/>
      <c r="AB19" s="282"/>
      <c r="AC19" s="282">
        <v>59.4</v>
      </c>
      <c r="AD19" s="282"/>
      <c r="AE19" s="282"/>
      <c r="AF19" s="282"/>
      <c r="AG19" s="429"/>
    </row>
    <row r="20" spans="1:33" ht="19.5" customHeight="1">
      <c r="A20" s="270" t="s">
        <v>398</v>
      </c>
      <c r="B20" s="283" t="s">
        <v>399</v>
      </c>
      <c r="C20" s="271" t="s">
        <v>493</v>
      </c>
      <c r="D20" s="272" t="s">
        <v>400</v>
      </c>
      <c r="E20" s="293"/>
      <c r="F20" s="293" t="s">
        <v>1054</v>
      </c>
      <c r="G20" s="293"/>
      <c r="H20" s="687">
        <f t="shared" si="0"/>
        <v>0</v>
      </c>
      <c r="I20" s="687">
        <f t="shared" si="1"/>
        <v>26</v>
      </c>
      <c r="J20" s="275"/>
      <c r="K20" s="276"/>
      <c r="L20" s="277"/>
      <c r="M20" s="278"/>
      <c r="N20" s="391"/>
      <c r="O20" s="545"/>
      <c r="P20" s="279"/>
      <c r="Q20" s="280">
        <v>26</v>
      </c>
      <c r="R20" s="195"/>
      <c r="S20" s="195"/>
      <c r="T20" s="195"/>
      <c r="U20" s="195"/>
      <c r="V20" s="195"/>
      <c r="W20" s="195"/>
      <c r="X20" s="195"/>
      <c r="Y20" s="428"/>
      <c r="Z20" s="732"/>
      <c r="AA20" s="281"/>
      <c r="AB20" s="282"/>
      <c r="AC20" s="282">
        <v>26</v>
      </c>
      <c r="AD20" s="282"/>
      <c r="AE20" s="282"/>
      <c r="AF20" s="282"/>
      <c r="AG20" s="429"/>
    </row>
    <row r="21" spans="1:33" ht="19.5" customHeight="1">
      <c r="A21" s="270" t="s">
        <v>398</v>
      </c>
      <c r="B21" s="289" t="s">
        <v>401</v>
      </c>
      <c r="C21" s="532" t="s">
        <v>396</v>
      </c>
      <c r="D21" s="272" t="s">
        <v>763</v>
      </c>
      <c r="E21" s="293"/>
      <c r="F21" s="293" t="s">
        <v>1054</v>
      </c>
      <c r="G21" s="293"/>
      <c r="H21" s="687">
        <f t="shared" si="0"/>
        <v>0</v>
      </c>
      <c r="I21" s="687">
        <f t="shared" si="1"/>
        <v>20</v>
      </c>
      <c r="J21" s="275"/>
      <c r="K21" s="276"/>
      <c r="L21" s="277"/>
      <c r="M21" s="278"/>
      <c r="N21" s="391"/>
      <c r="O21" s="545"/>
      <c r="P21" s="279"/>
      <c r="Q21" s="280">
        <v>20</v>
      </c>
      <c r="R21" s="195"/>
      <c r="S21" s="195"/>
      <c r="T21" s="195"/>
      <c r="U21" s="195"/>
      <c r="V21" s="195"/>
      <c r="W21" s="195"/>
      <c r="X21" s="195"/>
      <c r="Y21" s="428"/>
      <c r="Z21" s="732"/>
      <c r="AA21" s="281"/>
      <c r="AB21" s="282"/>
      <c r="AC21" s="282">
        <v>20</v>
      </c>
      <c r="AD21" s="282"/>
      <c r="AE21" s="282"/>
      <c r="AF21" s="282"/>
      <c r="AG21" s="429"/>
    </row>
    <row r="22" spans="1:33" ht="19.5" customHeight="1">
      <c r="A22" s="270" t="s">
        <v>398</v>
      </c>
      <c r="B22" s="289" t="s">
        <v>401</v>
      </c>
      <c r="C22" s="784" t="s">
        <v>732</v>
      </c>
      <c r="D22" s="287" t="s">
        <v>402</v>
      </c>
      <c r="E22" s="293"/>
      <c r="F22" s="293" t="s">
        <v>1054</v>
      </c>
      <c r="G22" s="293"/>
      <c r="H22" s="687">
        <f t="shared" si="0"/>
        <v>0</v>
      </c>
      <c r="I22" s="687">
        <f t="shared" si="1"/>
        <v>12</v>
      </c>
      <c r="J22" s="275"/>
      <c r="K22" s="276"/>
      <c r="L22" s="277"/>
      <c r="M22" s="278"/>
      <c r="N22" s="391"/>
      <c r="O22" s="545"/>
      <c r="P22" s="279"/>
      <c r="Q22" s="280">
        <v>12</v>
      </c>
      <c r="R22" s="195"/>
      <c r="S22" s="195"/>
      <c r="T22" s="195"/>
      <c r="U22" s="195"/>
      <c r="V22" s="195"/>
      <c r="W22" s="195"/>
      <c r="X22" s="195"/>
      <c r="Y22" s="428"/>
      <c r="Z22" s="732"/>
      <c r="AA22" s="281"/>
      <c r="AB22" s="282"/>
      <c r="AC22" s="282">
        <v>12</v>
      </c>
      <c r="AD22" s="282"/>
      <c r="AE22" s="282"/>
      <c r="AF22" s="282"/>
      <c r="AG22" s="429"/>
    </row>
    <row r="23" spans="1:33" ht="19.5" customHeight="1">
      <c r="A23" s="270" t="s">
        <v>398</v>
      </c>
      <c r="B23" s="289" t="s">
        <v>403</v>
      </c>
      <c r="C23" s="286" t="s">
        <v>732</v>
      </c>
      <c r="D23" s="272" t="s">
        <v>404</v>
      </c>
      <c r="E23" s="293"/>
      <c r="F23" s="293" t="s">
        <v>1064</v>
      </c>
      <c r="G23" s="293"/>
      <c r="H23" s="687">
        <f t="shared" si="0"/>
        <v>0</v>
      </c>
      <c r="I23" s="687">
        <f t="shared" si="1"/>
        <v>12</v>
      </c>
      <c r="J23" s="275"/>
      <c r="K23" s="276"/>
      <c r="L23" s="277"/>
      <c r="M23" s="278"/>
      <c r="N23" s="391"/>
      <c r="O23" s="545"/>
      <c r="P23" s="279"/>
      <c r="Q23" s="280">
        <v>12</v>
      </c>
      <c r="R23" s="195"/>
      <c r="S23" s="195"/>
      <c r="T23" s="195"/>
      <c r="U23" s="195"/>
      <c r="V23" s="195"/>
      <c r="W23" s="195"/>
      <c r="X23" s="195"/>
      <c r="Y23" s="428"/>
      <c r="Z23" s="732"/>
      <c r="AA23" s="281"/>
      <c r="AB23" s="282"/>
      <c r="AC23" s="282">
        <v>12</v>
      </c>
      <c r="AD23" s="282"/>
      <c r="AE23" s="282"/>
      <c r="AF23" s="282"/>
      <c r="AG23" s="429"/>
    </row>
    <row r="24" spans="1:33" ht="19.5" customHeight="1">
      <c r="A24" s="270" t="s">
        <v>398</v>
      </c>
      <c r="B24" s="283" t="s">
        <v>405</v>
      </c>
      <c r="C24" s="431" t="s">
        <v>493</v>
      </c>
      <c r="D24" s="272" t="s">
        <v>406</v>
      </c>
      <c r="E24" s="293"/>
      <c r="F24" s="293" t="s">
        <v>1054</v>
      </c>
      <c r="G24" s="293"/>
      <c r="H24" s="687">
        <f t="shared" si="0"/>
        <v>0</v>
      </c>
      <c r="I24" s="687">
        <f t="shared" si="1"/>
        <v>31.8</v>
      </c>
      <c r="J24" s="275"/>
      <c r="K24" s="276"/>
      <c r="L24" s="277"/>
      <c r="M24" s="278"/>
      <c r="N24" s="391"/>
      <c r="O24" s="545"/>
      <c r="P24" s="279"/>
      <c r="Q24" s="280">
        <v>31.8</v>
      </c>
      <c r="R24" s="195"/>
      <c r="S24" s="195"/>
      <c r="T24" s="195"/>
      <c r="U24" s="195"/>
      <c r="V24" s="195"/>
      <c r="W24" s="195"/>
      <c r="X24" s="195"/>
      <c r="Y24" s="428"/>
      <c r="Z24" s="732"/>
      <c r="AA24" s="281"/>
      <c r="AB24" s="282"/>
      <c r="AC24" s="282">
        <v>31.8</v>
      </c>
      <c r="AD24" s="282"/>
      <c r="AE24" s="282"/>
      <c r="AF24" s="282"/>
      <c r="AG24" s="429"/>
    </row>
    <row r="25" spans="1:33" ht="19.5" customHeight="1">
      <c r="A25" s="270" t="s">
        <v>407</v>
      </c>
      <c r="B25" s="283" t="s">
        <v>408</v>
      </c>
      <c r="C25" s="431" t="s">
        <v>396</v>
      </c>
      <c r="D25" s="272" t="s">
        <v>764</v>
      </c>
      <c r="E25" s="293"/>
      <c r="F25" s="293" t="s">
        <v>1054</v>
      </c>
      <c r="G25" s="293"/>
      <c r="H25" s="687">
        <f t="shared" si="0"/>
        <v>0</v>
      </c>
      <c r="I25" s="687">
        <f t="shared" si="1"/>
        <v>38.25</v>
      </c>
      <c r="J25" s="275"/>
      <c r="K25" s="276"/>
      <c r="L25" s="277"/>
      <c r="M25" s="278"/>
      <c r="N25" s="391"/>
      <c r="O25" s="545"/>
      <c r="P25" s="279"/>
      <c r="Q25" s="280">
        <v>38.25</v>
      </c>
      <c r="R25" s="195"/>
      <c r="S25" s="195"/>
      <c r="T25" s="195"/>
      <c r="U25" s="195"/>
      <c r="V25" s="195"/>
      <c r="W25" s="195"/>
      <c r="X25" s="195"/>
      <c r="Y25" s="428"/>
      <c r="Z25" s="732"/>
      <c r="AA25" s="281"/>
      <c r="AB25" s="282"/>
      <c r="AC25" s="282">
        <v>38.25</v>
      </c>
      <c r="AD25" s="282"/>
      <c r="AE25" s="282"/>
      <c r="AF25" s="282"/>
      <c r="AG25" s="429"/>
    </row>
    <row r="26" spans="1:33" ht="19.5" customHeight="1">
      <c r="A26" s="270" t="s">
        <v>407</v>
      </c>
      <c r="B26" s="283" t="s">
        <v>409</v>
      </c>
      <c r="C26" s="431" t="s">
        <v>396</v>
      </c>
      <c r="D26" s="272" t="s">
        <v>766</v>
      </c>
      <c r="E26" s="293"/>
      <c r="F26" s="293" t="s">
        <v>1054</v>
      </c>
      <c r="G26" s="293"/>
      <c r="H26" s="687">
        <f t="shared" si="0"/>
        <v>0</v>
      </c>
      <c r="I26" s="687">
        <f t="shared" si="1"/>
        <v>33</v>
      </c>
      <c r="J26" s="275"/>
      <c r="K26" s="276"/>
      <c r="L26" s="277"/>
      <c r="M26" s="278"/>
      <c r="N26" s="391"/>
      <c r="O26" s="545"/>
      <c r="P26" s="279"/>
      <c r="Q26" s="280">
        <v>33</v>
      </c>
      <c r="R26" s="195"/>
      <c r="S26" s="195"/>
      <c r="T26" s="195"/>
      <c r="U26" s="195"/>
      <c r="V26" s="195"/>
      <c r="W26" s="195"/>
      <c r="X26" s="195"/>
      <c r="Y26" s="428"/>
      <c r="Z26" s="732"/>
      <c r="AA26" s="281"/>
      <c r="AB26" s="282"/>
      <c r="AC26" s="282">
        <v>33</v>
      </c>
      <c r="AD26" s="282"/>
      <c r="AE26" s="282"/>
      <c r="AF26" s="282"/>
      <c r="AG26" s="429"/>
    </row>
    <row r="27" spans="1:33" ht="19.5" customHeight="1">
      <c r="A27" s="270" t="s">
        <v>407</v>
      </c>
      <c r="B27" s="283" t="s">
        <v>401</v>
      </c>
      <c r="C27" s="431" t="s">
        <v>396</v>
      </c>
      <c r="D27" s="272" t="s">
        <v>768</v>
      </c>
      <c r="E27" s="293"/>
      <c r="F27" s="293" t="s">
        <v>1054</v>
      </c>
      <c r="G27" s="293"/>
      <c r="H27" s="687">
        <f t="shared" si="0"/>
        <v>0</v>
      </c>
      <c r="I27" s="687">
        <f t="shared" si="1"/>
        <v>33</v>
      </c>
      <c r="J27" s="275"/>
      <c r="K27" s="276"/>
      <c r="L27" s="277"/>
      <c r="M27" s="278"/>
      <c r="N27" s="391"/>
      <c r="O27" s="545"/>
      <c r="P27" s="279"/>
      <c r="Q27" s="280">
        <v>33</v>
      </c>
      <c r="R27" s="195"/>
      <c r="S27" s="195"/>
      <c r="T27" s="195"/>
      <c r="U27" s="195"/>
      <c r="V27" s="195"/>
      <c r="W27" s="195"/>
      <c r="X27" s="195"/>
      <c r="Y27" s="428"/>
      <c r="Z27" s="732"/>
      <c r="AA27" s="281"/>
      <c r="AB27" s="282"/>
      <c r="AC27" s="282">
        <v>33</v>
      </c>
      <c r="AD27" s="282"/>
      <c r="AE27" s="282"/>
      <c r="AF27" s="282"/>
      <c r="AG27" s="429"/>
    </row>
    <row r="28" spans="1:33" ht="19.5" customHeight="1">
      <c r="A28" s="270" t="s">
        <v>410</v>
      </c>
      <c r="B28" s="283" t="s">
        <v>411</v>
      </c>
      <c r="C28" s="431" t="s">
        <v>732</v>
      </c>
      <c r="D28" s="272" t="s">
        <v>412</v>
      </c>
      <c r="E28" s="293"/>
      <c r="F28" s="293" t="s">
        <v>1054</v>
      </c>
      <c r="G28" s="293"/>
      <c r="H28" s="687">
        <f t="shared" si="0"/>
        <v>0</v>
      </c>
      <c r="I28" s="687">
        <f t="shared" si="1"/>
        <v>12</v>
      </c>
      <c r="J28" s="275"/>
      <c r="K28" s="276"/>
      <c r="L28" s="277"/>
      <c r="M28" s="278"/>
      <c r="N28" s="391"/>
      <c r="O28" s="545"/>
      <c r="P28" s="279"/>
      <c r="Q28" s="280">
        <v>12</v>
      </c>
      <c r="R28" s="195"/>
      <c r="S28" s="195"/>
      <c r="T28" s="195"/>
      <c r="U28" s="195"/>
      <c r="V28" s="195"/>
      <c r="W28" s="195"/>
      <c r="X28" s="195"/>
      <c r="Y28" s="428"/>
      <c r="Z28" s="732"/>
      <c r="AA28" s="281"/>
      <c r="AB28" s="282"/>
      <c r="AC28" s="282">
        <v>12</v>
      </c>
      <c r="AD28" s="282"/>
      <c r="AE28" s="282"/>
      <c r="AF28" s="282"/>
      <c r="AG28" s="429"/>
    </row>
    <row r="29" spans="1:33" ht="19.5" customHeight="1">
      <c r="A29" s="270" t="s">
        <v>413</v>
      </c>
      <c r="B29" s="283" t="s">
        <v>414</v>
      </c>
      <c r="C29" s="431" t="s">
        <v>732</v>
      </c>
      <c r="D29" s="272" t="s">
        <v>415</v>
      </c>
      <c r="E29" s="293"/>
      <c r="F29" s="293" t="s">
        <v>1054</v>
      </c>
      <c r="G29" s="293"/>
      <c r="H29" s="687">
        <f t="shared" si="0"/>
        <v>0</v>
      </c>
      <c r="I29" s="687">
        <f t="shared" si="1"/>
        <v>12</v>
      </c>
      <c r="J29" s="275"/>
      <c r="K29" s="276"/>
      <c r="L29" s="277"/>
      <c r="M29" s="278"/>
      <c r="N29" s="391"/>
      <c r="O29" s="545"/>
      <c r="P29" s="279"/>
      <c r="Q29" s="280">
        <v>12</v>
      </c>
      <c r="R29" s="195"/>
      <c r="S29" s="195"/>
      <c r="T29" s="195"/>
      <c r="U29" s="195"/>
      <c r="V29" s="195"/>
      <c r="W29" s="195"/>
      <c r="X29" s="195"/>
      <c r="Y29" s="428"/>
      <c r="Z29" s="732"/>
      <c r="AA29" s="281"/>
      <c r="AB29" s="282"/>
      <c r="AC29" s="282">
        <v>12</v>
      </c>
      <c r="AD29" s="282"/>
      <c r="AE29" s="282"/>
      <c r="AF29" s="282"/>
      <c r="AG29" s="429"/>
    </row>
    <row r="30" spans="1:33" ht="19.5" customHeight="1">
      <c r="A30" s="270" t="s">
        <v>413</v>
      </c>
      <c r="B30" s="283" t="s">
        <v>416</v>
      </c>
      <c r="C30" s="431" t="s">
        <v>417</v>
      </c>
      <c r="D30" s="272" t="s">
        <v>418</v>
      </c>
      <c r="E30" s="293"/>
      <c r="F30" s="293" t="s">
        <v>1054</v>
      </c>
      <c r="G30" s="293"/>
      <c r="H30" s="687">
        <f t="shared" si="0"/>
        <v>0</v>
      </c>
      <c r="I30" s="687">
        <f t="shared" si="1"/>
        <v>127.5</v>
      </c>
      <c r="J30" s="275"/>
      <c r="K30" s="276"/>
      <c r="L30" s="277"/>
      <c r="M30" s="278"/>
      <c r="N30" s="391"/>
      <c r="O30" s="545"/>
      <c r="P30" s="279"/>
      <c r="Q30" s="280">
        <v>127.5</v>
      </c>
      <c r="R30" s="195"/>
      <c r="S30" s="195"/>
      <c r="T30" s="195"/>
      <c r="U30" s="195"/>
      <c r="V30" s="195"/>
      <c r="W30" s="195"/>
      <c r="X30" s="195"/>
      <c r="Y30" s="428"/>
      <c r="Z30" s="732"/>
      <c r="AA30" s="281"/>
      <c r="AB30" s="282"/>
      <c r="AC30" s="282">
        <v>127.5</v>
      </c>
      <c r="AD30" s="282"/>
      <c r="AE30" s="282"/>
      <c r="AF30" s="282"/>
      <c r="AG30" s="429"/>
    </row>
    <row r="31" spans="1:33" ht="19.5" customHeight="1">
      <c r="A31" s="270" t="s">
        <v>413</v>
      </c>
      <c r="B31" s="283" t="s">
        <v>419</v>
      </c>
      <c r="C31" s="431" t="s">
        <v>493</v>
      </c>
      <c r="D31" s="272" t="s">
        <v>770</v>
      </c>
      <c r="E31" s="293"/>
      <c r="F31" s="293" t="s">
        <v>1054</v>
      </c>
      <c r="G31" s="273"/>
      <c r="H31" s="687">
        <f t="shared" si="0"/>
        <v>0</v>
      </c>
      <c r="I31" s="687">
        <f t="shared" si="1"/>
        <v>39.3</v>
      </c>
      <c r="J31" s="288"/>
      <c r="K31" s="276"/>
      <c r="L31" s="277"/>
      <c r="M31" s="278"/>
      <c r="N31" s="391"/>
      <c r="O31" s="545"/>
      <c r="P31" s="279"/>
      <c r="Q31" s="280">
        <v>39.3</v>
      </c>
      <c r="R31" s="195"/>
      <c r="S31" s="195"/>
      <c r="T31" s="195"/>
      <c r="U31" s="195"/>
      <c r="V31" s="195"/>
      <c r="W31" s="195"/>
      <c r="X31" s="195"/>
      <c r="Y31" s="428"/>
      <c r="Z31" s="732"/>
      <c r="AA31" s="281"/>
      <c r="AB31" s="282"/>
      <c r="AC31" s="282">
        <v>39.3</v>
      </c>
      <c r="AD31" s="282"/>
      <c r="AE31" s="282"/>
      <c r="AF31" s="282"/>
      <c r="AG31" s="429"/>
    </row>
    <row r="32" spans="1:33" ht="19.5" customHeight="1">
      <c r="A32" s="270" t="s">
        <v>420</v>
      </c>
      <c r="B32" s="283" t="s">
        <v>421</v>
      </c>
      <c r="C32" s="431" t="s">
        <v>417</v>
      </c>
      <c r="D32" s="287" t="s">
        <v>772</v>
      </c>
      <c r="E32" s="293"/>
      <c r="F32" s="293" t="s">
        <v>1054</v>
      </c>
      <c r="G32" s="273"/>
      <c r="H32" s="687">
        <f t="shared" si="0"/>
        <v>0</v>
      </c>
      <c r="I32" s="687">
        <f t="shared" si="1"/>
        <v>31.8</v>
      </c>
      <c r="J32" s="275"/>
      <c r="K32" s="276"/>
      <c r="L32" s="277"/>
      <c r="M32" s="278"/>
      <c r="N32" s="391"/>
      <c r="O32" s="545"/>
      <c r="P32" s="279"/>
      <c r="Q32" s="280">
        <v>31.8</v>
      </c>
      <c r="R32" s="195"/>
      <c r="S32" s="195"/>
      <c r="T32" s="195"/>
      <c r="U32" s="195"/>
      <c r="V32" s="195"/>
      <c r="W32" s="195"/>
      <c r="X32" s="195"/>
      <c r="Y32" s="428"/>
      <c r="Z32" s="732"/>
      <c r="AA32" s="281"/>
      <c r="AB32" s="282"/>
      <c r="AC32" s="282">
        <v>31.8</v>
      </c>
      <c r="AD32" s="282"/>
      <c r="AE32" s="282"/>
      <c r="AF32" s="282"/>
      <c r="AG32" s="429"/>
    </row>
    <row r="33" spans="1:33" ht="19.5" customHeight="1">
      <c r="A33" s="270" t="s">
        <v>420</v>
      </c>
      <c r="B33" s="283" t="s">
        <v>422</v>
      </c>
      <c r="C33" s="431" t="s">
        <v>493</v>
      </c>
      <c r="D33" s="287" t="s">
        <v>774</v>
      </c>
      <c r="E33" s="293"/>
      <c r="F33" s="293" t="s">
        <v>1054</v>
      </c>
      <c r="G33" s="273"/>
      <c r="H33" s="687">
        <f t="shared" si="0"/>
        <v>0</v>
      </c>
      <c r="I33" s="687">
        <f t="shared" si="1"/>
        <v>23</v>
      </c>
      <c r="J33" s="288"/>
      <c r="K33" s="276"/>
      <c r="L33" s="277"/>
      <c r="M33" s="278"/>
      <c r="N33" s="391"/>
      <c r="O33" s="545"/>
      <c r="P33" s="279"/>
      <c r="Q33" s="280">
        <v>23</v>
      </c>
      <c r="R33" s="195"/>
      <c r="S33" s="195"/>
      <c r="T33" s="195"/>
      <c r="U33" s="195"/>
      <c r="V33" s="195"/>
      <c r="W33" s="195"/>
      <c r="X33" s="195"/>
      <c r="Y33" s="428"/>
      <c r="Z33" s="732"/>
      <c r="AA33" s="281"/>
      <c r="AB33" s="282"/>
      <c r="AC33" s="282">
        <v>23</v>
      </c>
      <c r="AD33" s="282"/>
      <c r="AE33" s="282"/>
      <c r="AF33" s="282"/>
      <c r="AG33" s="429"/>
    </row>
    <row r="34" spans="1:33" ht="19.5" customHeight="1">
      <c r="A34" s="270" t="s">
        <v>420</v>
      </c>
      <c r="B34" s="283" t="s">
        <v>423</v>
      </c>
      <c r="C34" s="431" t="s">
        <v>732</v>
      </c>
      <c r="D34" s="287" t="s">
        <v>424</v>
      </c>
      <c r="E34" s="293"/>
      <c r="F34" s="293" t="s">
        <v>1054</v>
      </c>
      <c r="G34" s="273"/>
      <c r="H34" s="687">
        <f t="shared" si="0"/>
        <v>0</v>
      </c>
      <c r="I34" s="687">
        <f t="shared" si="1"/>
        <v>10.8</v>
      </c>
      <c r="J34" s="288"/>
      <c r="K34" s="276"/>
      <c r="L34" s="277"/>
      <c r="M34" s="278"/>
      <c r="N34" s="391"/>
      <c r="O34" s="545"/>
      <c r="P34" s="279"/>
      <c r="Q34" s="280">
        <v>10.8</v>
      </c>
      <c r="R34" s="195"/>
      <c r="S34" s="195"/>
      <c r="T34" s="195"/>
      <c r="U34" s="195"/>
      <c r="V34" s="195"/>
      <c r="W34" s="195"/>
      <c r="X34" s="195"/>
      <c r="Y34" s="428"/>
      <c r="Z34" s="732"/>
      <c r="AA34" s="281"/>
      <c r="AB34" s="282"/>
      <c r="AC34" s="282">
        <v>10.8</v>
      </c>
      <c r="AD34" s="282"/>
      <c r="AE34" s="282"/>
      <c r="AF34" s="282"/>
      <c r="AG34" s="429"/>
    </row>
    <row r="35" spans="1:33" ht="19.5" customHeight="1">
      <c r="A35" s="270" t="s">
        <v>420</v>
      </c>
      <c r="B35" s="283" t="s">
        <v>425</v>
      </c>
      <c r="C35" s="431" t="s">
        <v>493</v>
      </c>
      <c r="D35" s="287" t="s">
        <v>426</v>
      </c>
      <c r="E35" s="293"/>
      <c r="F35" s="293" t="s">
        <v>1054</v>
      </c>
      <c r="G35" s="273"/>
      <c r="H35" s="687">
        <f t="shared" si="0"/>
        <v>0</v>
      </c>
      <c r="I35" s="687">
        <f t="shared" si="1"/>
        <v>23</v>
      </c>
      <c r="J35" s="288"/>
      <c r="K35" s="276"/>
      <c r="L35" s="277"/>
      <c r="M35" s="278"/>
      <c r="N35" s="391"/>
      <c r="O35" s="545"/>
      <c r="P35" s="279"/>
      <c r="Q35" s="280">
        <v>23</v>
      </c>
      <c r="R35" s="195"/>
      <c r="S35" s="195"/>
      <c r="T35" s="195"/>
      <c r="U35" s="195"/>
      <c r="V35" s="195"/>
      <c r="W35" s="195"/>
      <c r="X35" s="195"/>
      <c r="Y35" s="428"/>
      <c r="Z35" s="732"/>
      <c r="AA35" s="281"/>
      <c r="AB35" s="282"/>
      <c r="AC35" s="282">
        <v>23</v>
      </c>
      <c r="AD35" s="282"/>
      <c r="AE35" s="282"/>
      <c r="AF35" s="282"/>
      <c r="AG35" s="429"/>
    </row>
    <row r="36" spans="1:33" ht="19.5" customHeight="1">
      <c r="A36" s="270" t="s">
        <v>427</v>
      </c>
      <c r="B36" s="283" t="s">
        <v>428</v>
      </c>
      <c r="C36" s="431" t="s">
        <v>732</v>
      </c>
      <c r="D36" s="287" t="s">
        <v>429</v>
      </c>
      <c r="E36" s="293"/>
      <c r="F36" s="293" t="s">
        <v>1064</v>
      </c>
      <c r="G36" s="273"/>
      <c r="H36" s="687">
        <f t="shared" si="0"/>
        <v>0</v>
      </c>
      <c r="I36" s="687">
        <f t="shared" si="1"/>
        <v>12</v>
      </c>
      <c r="J36" s="288"/>
      <c r="K36" s="276"/>
      <c r="L36" s="277"/>
      <c r="M36" s="278"/>
      <c r="N36" s="391"/>
      <c r="O36" s="545"/>
      <c r="P36" s="279"/>
      <c r="Q36" s="280">
        <v>12</v>
      </c>
      <c r="R36" s="195"/>
      <c r="S36" s="195"/>
      <c r="T36" s="195"/>
      <c r="U36" s="195"/>
      <c r="V36" s="195"/>
      <c r="W36" s="195"/>
      <c r="X36" s="195"/>
      <c r="Y36" s="428"/>
      <c r="Z36" s="732"/>
      <c r="AA36" s="281"/>
      <c r="AB36" s="282"/>
      <c r="AC36" s="282">
        <v>12</v>
      </c>
      <c r="AD36" s="282"/>
      <c r="AE36" s="282"/>
      <c r="AF36" s="282"/>
      <c r="AG36" s="429"/>
    </row>
    <row r="37" spans="1:33" ht="19.5" customHeight="1">
      <c r="A37" s="270" t="s">
        <v>427</v>
      </c>
      <c r="B37" s="283" t="s">
        <v>430</v>
      </c>
      <c r="C37" s="431" t="s">
        <v>493</v>
      </c>
      <c r="D37" s="287" t="s">
        <v>776</v>
      </c>
      <c r="E37" s="293"/>
      <c r="F37" s="293" t="s">
        <v>1054</v>
      </c>
      <c r="G37" s="273"/>
      <c r="H37" s="687">
        <f t="shared" si="0"/>
        <v>0</v>
      </c>
      <c r="I37" s="687">
        <f t="shared" si="1"/>
        <v>23</v>
      </c>
      <c r="J37" s="288"/>
      <c r="K37" s="276"/>
      <c r="L37" s="277"/>
      <c r="M37" s="278"/>
      <c r="N37" s="391"/>
      <c r="O37" s="545"/>
      <c r="P37" s="279"/>
      <c r="Q37" s="280">
        <v>23</v>
      </c>
      <c r="R37" s="195"/>
      <c r="S37" s="195"/>
      <c r="T37" s="195"/>
      <c r="U37" s="195"/>
      <c r="V37" s="195"/>
      <c r="W37" s="195"/>
      <c r="X37" s="195"/>
      <c r="Y37" s="428"/>
      <c r="Z37" s="732"/>
      <c r="AA37" s="281"/>
      <c r="AB37" s="282"/>
      <c r="AC37" s="282">
        <v>23</v>
      </c>
      <c r="AD37" s="282"/>
      <c r="AE37" s="282"/>
      <c r="AF37" s="282"/>
      <c r="AG37" s="429"/>
    </row>
    <row r="38" spans="1:33" ht="19.5" customHeight="1">
      <c r="A38" s="270" t="s">
        <v>427</v>
      </c>
      <c r="B38" s="283" t="s">
        <v>431</v>
      </c>
      <c r="C38" s="431" t="s">
        <v>493</v>
      </c>
      <c r="D38" s="287" t="s">
        <v>432</v>
      </c>
      <c r="E38" s="293"/>
      <c r="F38" s="293" t="s">
        <v>1054</v>
      </c>
      <c r="G38" s="273"/>
      <c r="H38" s="687">
        <f t="shared" si="0"/>
        <v>0</v>
      </c>
      <c r="I38" s="687">
        <f t="shared" si="1"/>
        <v>23</v>
      </c>
      <c r="J38" s="288"/>
      <c r="K38" s="276"/>
      <c r="L38" s="277"/>
      <c r="M38" s="278"/>
      <c r="N38" s="391"/>
      <c r="O38" s="545"/>
      <c r="P38" s="279"/>
      <c r="Q38" s="280">
        <v>23</v>
      </c>
      <c r="R38" s="195"/>
      <c r="S38" s="195"/>
      <c r="T38" s="195"/>
      <c r="U38" s="195"/>
      <c r="V38" s="195"/>
      <c r="W38" s="195"/>
      <c r="X38" s="195"/>
      <c r="Y38" s="428"/>
      <c r="Z38" s="732"/>
      <c r="AA38" s="281"/>
      <c r="AB38" s="282"/>
      <c r="AC38" s="282">
        <v>23</v>
      </c>
      <c r="AD38" s="282"/>
      <c r="AE38" s="282"/>
      <c r="AF38" s="282"/>
      <c r="AG38" s="429"/>
    </row>
    <row r="39" spans="1:33" ht="19.5" customHeight="1">
      <c r="A39" s="270" t="s">
        <v>433</v>
      </c>
      <c r="B39" s="283" t="s">
        <v>434</v>
      </c>
      <c r="C39" s="431" t="s">
        <v>417</v>
      </c>
      <c r="D39" s="287" t="s">
        <v>778</v>
      </c>
      <c r="E39" s="293"/>
      <c r="F39" s="293" t="s">
        <v>1054</v>
      </c>
      <c r="G39" s="273"/>
      <c r="H39" s="687">
        <f t="shared" si="0"/>
        <v>0</v>
      </c>
      <c r="I39" s="687">
        <f t="shared" si="1"/>
        <v>63.6</v>
      </c>
      <c r="J39" s="288"/>
      <c r="K39" s="276"/>
      <c r="L39" s="277"/>
      <c r="M39" s="278"/>
      <c r="N39" s="391"/>
      <c r="O39" s="545"/>
      <c r="P39" s="279"/>
      <c r="Q39" s="280">
        <v>63.6</v>
      </c>
      <c r="R39" s="195"/>
      <c r="S39" s="195"/>
      <c r="T39" s="195"/>
      <c r="U39" s="195"/>
      <c r="V39" s="195"/>
      <c r="W39" s="195"/>
      <c r="X39" s="195"/>
      <c r="Y39" s="428"/>
      <c r="Z39" s="732"/>
      <c r="AA39" s="281"/>
      <c r="AB39" s="282"/>
      <c r="AC39" s="282">
        <v>63.6</v>
      </c>
      <c r="AD39" s="282"/>
      <c r="AE39" s="282"/>
      <c r="AF39" s="282"/>
      <c r="AG39" s="429"/>
    </row>
    <row r="40" spans="1:33" ht="19.5" customHeight="1">
      <c r="A40" s="270" t="s">
        <v>433</v>
      </c>
      <c r="B40" s="283" t="s">
        <v>435</v>
      </c>
      <c r="C40" s="431" t="s">
        <v>417</v>
      </c>
      <c r="D40" s="287" t="s">
        <v>780</v>
      </c>
      <c r="E40" s="293"/>
      <c r="F40" s="293" t="s">
        <v>1054</v>
      </c>
      <c r="G40" s="273"/>
      <c r="H40" s="687">
        <f t="shared" si="0"/>
        <v>0</v>
      </c>
      <c r="I40" s="687">
        <f t="shared" si="1"/>
        <v>27</v>
      </c>
      <c r="J40" s="288"/>
      <c r="K40" s="276"/>
      <c r="L40" s="277"/>
      <c r="M40" s="278"/>
      <c r="N40" s="391"/>
      <c r="O40" s="545"/>
      <c r="P40" s="279"/>
      <c r="Q40" s="280">
        <v>27</v>
      </c>
      <c r="R40" s="195"/>
      <c r="S40" s="195"/>
      <c r="T40" s="195"/>
      <c r="U40" s="195"/>
      <c r="V40" s="195"/>
      <c r="W40" s="195"/>
      <c r="X40" s="195"/>
      <c r="Y40" s="428"/>
      <c r="Z40" s="732"/>
      <c r="AA40" s="281"/>
      <c r="AB40" s="282"/>
      <c r="AC40" s="282">
        <v>27</v>
      </c>
      <c r="AD40" s="282"/>
      <c r="AE40" s="282"/>
      <c r="AF40" s="282"/>
      <c r="AG40" s="429"/>
    </row>
    <row r="41" spans="1:33" ht="19.5" customHeight="1">
      <c r="A41" s="270" t="s">
        <v>436</v>
      </c>
      <c r="B41" s="283" t="s">
        <v>437</v>
      </c>
      <c r="C41" s="431" t="s">
        <v>396</v>
      </c>
      <c r="D41" s="272" t="s">
        <v>571</v>
      </c>
      <c r="E41" s="293"/>
      <c r="F41" s="293" t="s">
        <v>1054</v>
      </c>
      <c r="G41" s="293"/>
      <c r="H41" s="687">
        <f t="shared" si="0"/>
        <v>0</v>
      </c>
      <c r="I41" s="687">
        <f t="shared" si="1"/>
        <v>85</v>
      </c>
      <c r="J41" s="275"/>
      <c r="K41" s="276"/>
      <c r="L41" s="277"/>
      <c r="M41" s="278"/>
      <c r="N41" s="391"/>
      <c r="O41" s="545"/>
      <c r="P41" s="279"/>
      <c r="Q41" s="280">
        <v>85</v>
      </c>
      <c r="R41" s="195"/>
      <c r="S41" s="195"/>
      <c r="T41" s="195"/>
      <c r="U41" s="195"/>
      <c r="V41" s="195"/>
      <c r="W41" s="195"/>
      <c r="X41" s="195"/>
      <c r="Y41" s="428"/>
      <c r="Z41" s="732"/>
      <c r="AA41" s="281"/>
      <c r="AB41" s="282"/>
      <c r="AC41" s="282">
        <v>85</v>
      </c>
      <c r="AD41" s="282"/>
      <c r="AE41" s="282"/>
      <c r="AF41" s="282"/>
      <c r="AG41" s="429"/>
    </row>
    <row r="42" spans="1:33" ht="19.5" customHeight="1">
      <c r="A42" s="270" t="s">
        <v>436</v>
      </c>
      <c r="B42" s="283" t="s">
        <v>438</v>
      </c>
      <c r="C42" s="431" t="s">
        <v>493</v>
      </c>
      <c r="D42" s="272" t="s">
        <v>439</v>
      </c>
      <c r="E42" s="293"/>
      <c r="F42" s="293" t="s">
        <v>1054</v>
      </c>
      <c r="G42" s="293"/>
      <c r="H42" s="687">
        <f t="shared" si="0"/>
        <v>0</v>
      </c>
      <c r="I42" s="687">
        <f t="shared" si="1"/>
        <v>73.4</v>
      </c>
      <c r="J42" s="275"/>
      <c r="K42" s="276"/>
      <c r="L42" s="277"/>
      <c r="M42" s="278"/>
      <c r="N42" s="391"/>
      <c r="O42" s="545"/>
      <c r="P42" s="279"/>
      <c r="Q42" s="280">
        <v>73.4</v>
      </c>
      <c r="R42" s="195"/>
      <c r="S42" s="195"/>
      <c r="T42" s="195"/>
      <c r="U42" s="195"/>
      <c r="V42" s="195"/>
      <c r="W42" s="195"/>
      <c r="X42" s="195"/>
      <c r="Y42" s="428"/>
      <c r="Z42" s="732"/>
      <c r="AA42" s="281"/>
      <c r="AB42" s="282"/>
      <c r="AC42" s="282">
        <v>73.4</v>
      </c>
      <c r="AD42" s="282"/>
      <c r="AE42" s="282"/>
      <c r="AF42" s="282"/>
      <c r="AG42" s="429"/>
    </row>
    <row r="43" spans="1:33" ht="19.5" customHeight="1">
      <c r="A43" s="433" t="s">
        <v>436</v>
      </c>
      <c r="B43" s="283" t="s">
        <v>440</v>
      </c>
      <c r="C43" s="271" t="s">
        <v>417</v>
      </c>
      <c r="D43" s="272" t="s">
        <v>441</v>
      </c>
      <c r="E43" s="293"/>
      <c r="F43" s="293" t="s">
        <v>1054</v>
      </c>
      <c r="G43" s="293"/>
      <c r="H43" s="687">
        <f t="shared" si="0"/>
        <v>0</v>
      </c>
      <c r="I43" s="687">
        <f t="shared" si="1"/>
        <v>31.8</v>
      </c>
      <c r="J43" s="275"/>
      <c r="K43" s="276"/>
      <c r="L43" s="277"/>
      <c r="M43" s="278"/>
      <c r="N43" s="391"/>
      <c r="O43" s="545"/>
      <c r="P43" s="279"/>
      <c r="Q43" s="280">
        <v>31.8</v>
      </c>
      <c r="R43" s="195"/>
      <c r="S43" s="195"/>
      <c r="T43" s="195"/>
      <c r="U43" s="195"/>
      <c r="V43" s="195"/>
      <c r="W43" s="195"/>
      <c r="X43" s="195"/>
      <c r="Y43" s="428"/>
      <c r="Z43" s="732"/>
      <c r="AA43" s="281"/>
      <c r="AB43" s="282"/>
      <c r="AC43" s="282">
        <v>31.8</v>
      </c>
      <c r="AD43" s="282"/>
      <c r="AE43" s="282"/>
      <c r="AF43" s="282"/>
      <c r="AG43" s="429"/>
    </row>
    <row r="44" spans="1:33" ht="19.5" customHeight="1">
      <c r="A44" s="433" t="s">
        <v>436</v>
      </c>
      <c r="B44" s="283" t="s">
        <v>442</v>
      </c>
      <c r="C44" s="271" t="s">
        <v>493</v>
      </c>
      <c r="D44" s="272" t="s">
        <v>795</v>
      </c>
      <c r="E44" s="293"/>
      <c r="F44" s="293" t="s">
        <v>1054</v>
      </c>
      <c r="G44" s="293"/>
      <c r="H44" s="687">
        <f t="shared" si="0"/>
        <v>0</v>
      </c>
      <c r="I44" s="687">
        <f t="shared" si="1"/>
        <v>69</v>
      </c>
      <c r="J44" s="275"/>
      <c r="K44" s="276"/>
      <c r="L44" s="277"/>
      <c r="M44" s="278"/>
      <c r="N44" s="391"/>
      <c r="O44" s="545"/>
      <c r="P44" s="279"/>
      <c r="Q44" s="280">
        <v>69</v>
      </c>
      <c r="R44" s="195"/>
      <c r="S44" s="195"/>
      <c r="T44" s="195"/>
      <c r="U44" s="195"/>
      <c r="V44" s="195"/>
      <c r="W44" s="195"/>
      <c r="X44" s="195"/>
      <c r="Y44" s="428"/>
      <c r="Z44" s="732"/>
      <c r="AA44" s="281"/>
      <c r="AB44" s="282"/>
      <c r="AC44" s="282">
        <v>69</v>
      </c>
      <c r="AD44" s="282"/>
      <c r="AE44" s="282"/>
      <c r="AF44" s="282"/>
      <c r="AG44" s="429"/>
    </row>
    <row r="45" spans="1:33" ht="12">
      <c r="A45" s="433" t="s">
        <v>443</v>
      </c>
      <c r="B45" s="283" t="s">
        <v>444</v>
      </c>
      <c r="C45" s="271" t="s">
        <v>396</v>
      </c>
      <c r="D45" s="272" t="s">
        <v>445</v>
      </c>
      <c r="E45" s="293"/>
      <c r="F45" s="293" t="s">
        <v>1054</v>
      </c>
      <c r="G45" s="293"/>
      <c r="H45" s="687">
        <f t="shared" si="0"/>
        <v>0</v>
      </c>
      <c r="I45" s="687">
        <f t="shared" si="1"/>
        <v>33</v>
      </c>
      <c r="J45" s="275"/>
      <c r="K45" s="276"/>
      <c r="L45" s="277"/>
      <c r="M45" s="278"/>
      <c r="N45" s="651"/>
      <c r="O45" s="545"/>
      <c r="P45" s="279"/>
      <c r="Q45" s="280">
        <v>33</v>
      </c>
      <c r="R45" s="195"/>
      <c r="S45" s="195"/>
      <c r="T45" s="195"/>
      <c r="U45" s="195"/>
      <c r="V45" s="195"/>
      <c r="W45" s="195"/>
      <c r="X45" s="195"/>
      <c r="Y45" s="428"/>
      <c r="Z45" s="732"/>
      <c r="AA45" s="281"/>
      <c r="AB45" s="282"/>
      <c r="AC45" s="282">
        <v>33</v>
      </c>
      <c r="AD45" s="282"/>
      <c r="AE45" s="282"/>
      <c r="AF45" s="282"/>
      <c r="AG45" s="429"/>
    </row>
    <row r="46" spans="1:32" ht="12">
      <c r="A46" s="682" t="s">
        <v>443</v>
      </c>
      <c r="B46" s="283" t="s">
        <v>533</v>
      </c>
      <c r="C46" s="271" t="s">
        <v>396</v>
      </c>
      <c r="D46" s="272" t="s">
        <v>446</v>
      </c>
      <c r="E46" s="293"/>
      <c r="F46" s="293" t="s">
        <v>1054</v>
      </c>
      <c r="G46" s="293"/>
      <c r="H46" s="427">
        <f>J46+L46+P46</f>
        <v>0</v>
      </c>
      <c r="I46" s="427">
        <f>K46+M46+Q46</f>
        <v>29.7</v>
      </c>
      <c r="J46" s="275"/>
      <c r="K46" s="276"/>
      <c r="L46" s="277"/>
      <c r="M46" s="278"/>
      <c r="N46" s="651"/>
      <c r="O46" s="545"/>
      <c r="P46" s="279"/>
      <c r="Q46" s="280">
        <v>29.7</v>
      </c>
      <c r="R46" s="195"/>
      <c r="S46" s="195"/>
      <c r="T46" s="195"/>
      <c r="U46" s="195"/>
      <c r="V46" s="195"/>
      <c r="W46" s="195"/>
      <c r="X46" s="195"/>
      <c r="Y46" s="683"/>
      <c r="Z46" s="733"/>
      <c r="AA46" s="281"/>
      <c r="AB46" s="282"/>
      <c r="AC46" s="282">
        <v>29.7</v>
      </c>
      <c r="AD46" s="282"/>
      <c r="AE46" s="282"/>
      <c r="AF46" s="282"/>
    </row>
    <row r="47" spans="1:32" ht="12">
      <c r="A47" s="684" t="s">
        <v>447</v>
      </c>
      <c r="B47" s="283" t="s">
        <v>448</v>
      </c>
      <c r="C47" s="271" t="s">
        <v>732</v>
      </c>
      <c r="D47" s="272" t="s">
        <v>663</v>
      </c>
      <c r="E47" s="293"/>
      <c r="F47" s="293" t="s">
        <v>1054</v>
      </c>
      <c r="G47" s="293"/>
      <c r="H47" s="427">
        <f aca="true" t="shared" si="2" ref="H47:H101">J47+L47+P47</f>
        <v>0</v>
      </c>
      <c r="I47" s="427">
        <f aca="true" t="shared" si="3" ref="I47:I101">K47+M47+Q47</f>
        <v>24</v>
      </c>
      <c r="J47" s="275"/>
      <c r="K47" s="276"/>
      <c r="L47" s="277"/>
      <c r="M47" s="278"/>
      <c r="N47" s="651"/>
      <c r="O47" s="545"/>
      <c r="P47" s="279"/>
      <c r="Q47" s="280">
        <v>24</v>
      </c>
      <c r="R47" s="195"/>
      <c r="S47" s="195"/>
      <c r="T47" s="195"/>
      <c r="U47" s="195"/>
      <c r="V47" s="195"/>
      <c r="W47" s="195"/>
      <c r="X47" s="195"/>
      <c r="Y47" s="683"/>
      <c r="Z47" s="733"/>
      <c r="AA47" s="281"/>
      <c r="AB47" s="282"/>
      <c r="AC47" s="282">
        <v>24</v>
      </c>
      <c r="AD47" s="282"/>
      <c r="AE47" s="282"/>
      <c r="AF47" s="282"/>
    </row>
    <row r="48" spans="1:32" ht="12">
      <c r="A48" s="684" t="s">
        <v>447</v>
      </c>
      <c r="B48" s="283" t="s">
        <v>449</v>
      </c>
      <c r="C48" s="271" t="s">
        <v>732</v>
      </c>
      <c r="D48" s="272" t="s">
        <v>669</v>
      </c>
      <c r="E48" s="293"/>
      <c r="F48" s="293" t="s">
        <v>1054</v>
      </c>
      <c r="G48" s="293"/>
      <c r="H48" s="427">
        <f t="shared" si="2"/>
        <v>0</v>
      </c>
      <c r="I48" s="427">
        <f t="shared" si="3"/>
        <v>10.8</v>
      </c>
      <c r="J48" s="275"/>
      <c r="K48" s="276"/>
      <c r="L48" s="277"/>
      <c r="M48" s="278"/>
      <c r="N48" s="651"/>
      <c r="O48" s="545"/>
      <c r="P48" s="279"/>
      <c r="Q48" s="280">
        <v>10.8</v>
      </c>
      <c r="R48" s="195"/>
      <c r="S48" s="195"/>
      <c r="T48" s="195"/>
      <c r="U48" s="195"/>
      <c r="V48" s="195"/>
      <c r="W48" s="195"/>
      <c r="X48" s="195"/>
      <c r="Y48" s="683"/>
      <c r="Z48" s="733"/>
      <c r="AA48" s="281"/>
      <c r="AB48" s="282"/>
      <c r="AC48" s="282">
        <v>10.8</v>
      </c>
      <c r="AD48" s="282"/>
      <c r="AE48" s="282"/>
      <c r="AF48" s="282"/>
    </row>
    <row r="49" spans="1:32" ht="12">
      <c r="A49" s="684" t="s">
        <v>447</v>
      </c>
      <c r="B49" s="283" t="s">
        <v>450</v>
      </c>
      <c r="C49" s="271" t="s">
        <v>493</v>
      </c>
      <c r="D49" s="272" t="s">
        <v>671</v>
      </c>
      <c r="E49" s="293"/>
      <c r="F49" s="293" t="s">
        <v>1054</v>
      </c>
      <c r="G49" s="293"/>
      <c r="H49" s="427">
        <f t="shared" si="2"/>
        <v>0</v>
      </c>
      <c r="I49" s="427">
        <f t="shared" si="3"/>
        <v>27.8</v>
      </c>
      <c r="J49" s="275"/>
      <c r="K49" s="276"/>
      <c r="L49" s="277"/>
      <c r="M49" s="278"/>
      <c r="N49" s="651"/>
      <c r="O49" s="545"/>
      <c r="P49" s="279"/>
      <c r="Q49" s="280">
        <v>27.8</v>
      </c>
      <c r="R49" s="195"/>
      <c r="S49" s="195"/>
      <c r="T49" s="195"/>
      <c r="U49" s="195"/>
      <c r="V49" s="195"/>
      <c r="W49" s="195"/>
      <c r="X49" s="195"/>
      <c r="Y49" s="683"/>
      <c r="Z49" s="733"/>
      <c r="AA49" s="281"/>
      <c r="AB49" s="282"/>
      <c r="AC49" s="282">
        <v>27.8</v>
      </c>
      <c r="AD49" s="282"/>
      <c r="AE49" s="282"/>
      <c r="AF49" s="282"/>
    </row>
    <row r="50" spans="1:32" ht="12">
      <c r="A50" s="684" t="s">
        <v>451</v>
      </c>
      <c r="B50" s="283" t="s">
        <v>637</v>
      </c>
      <c r="C50" s="271" t="s">
        <v>452</v>
      </c>
      <c r="D50" s="272" t="s">
        <v>453</v>
      </c>
      <c r="E50" s="293" t="s">
        <v>1054</v>
      </c>
      <c r="F50" s="293"/>
      <c r="G50" s="293"/>
      <c r="H50" s="427">
        <f t="shared" si="2"/>
        <v>36.01</v>
      </c>
      <c r="I50" s="427">
        <f t="shared" si="3"/>
        <v>0</v>
      </c>
      <c r="J50" s="275">
        <v>36.01</v>
      </c>
      <c r="K50" s="276"/>
      <c r="L50" s="277"/>
      <c r="M50" s="278"/>
      <c r="N50" s="651"/>
      <c r="O50" s="545"/>
      <c r="P50" s="279"/>
      <c r="Q50" s="280"/>
      <c r="R50" s="195"/>
      <c r="S50" s="195"/>
      <c r="T50" s="195">
        <v>36.01</v>
      </c>
      <c r="U50" s="195"/>
      <c r="V50" s="195"/>
      <c r="W50" s="195"/>
      <c r="X50" s="195"/>
      <c r="Y50" s="683"/>
      <c r="Z50" s="733"/>
      <c r="AA50" s="281"/>
      <c r="AB50" s="282"/>
      <c r="AC50" s="282"/>
      <c r="AD50" s="282"/>
      <c r="AE50" s="282"/>
      <c r="AF50" s="282"/>
    </row>
    <row r="51" spans="1:32" ht="12">
      <c r="A51" s="684" t="s">
        <v>451</v>
      </c>
      <c r="B51" s="283" t="s">
        <v>1051</v>
      </c>
      <c r="C51" s="271" t="s">
        <v>785</v>
      </c>
      <c r="D51" s="272" t="s">
        <v>882</v>
      </c>
      <c r="E51" s="293"/>
      <c r="F51" s="293"/>
      <c r="G51" s="293" t="s">
        <v>1054</v>
      </c>
      <c r="H51" s="427">
        <f t="shared" si="2"/>
        <v>15.3</v>
      </c>
      <c r="I51" s="427">
        <f t="shared" si="3"/>
        <v>0</v>
      </c>
      <c r="J51" s="275">
        <v>15.3</v>
      </c>
      <c r="K51" s="276"/>
      <c r="L51" s="277"/>
      <c r="M51" s="278"/>
      <c r="N51" s="651"/>
      <c r="O51" s="545"/>
      <c r="P51" s="279"/>
      <c r="Q51" s="280"/>
      <c r="R51" s="195"/>
      <c r="S51" s="195">
        <v>15.3</v>
      </c>
      <c r="T51" s="195"/>
      <c r="U51" s="195"/>
      <c r="V51" s="195"/>
      <c r="W51" s="195"/>
      <c r="X51" s="195"/>
      <c r="Y51" s="683"/>
      <c r="Z51" s="733"/>
      <c r="AA51" s="281"/>
      <c r="AB51" s="282"/>
      <c r="AC51" s="282"/>
      <c r="AD51" s="282"/>
      <c r="AE51" s="282"/>
      <c r="AF51" s="282"/>
    </row>
    <row r="52" spans="1:32" ht="12">
      <c r="A52" s="684" t="s">
        <v>454</v>
      </c>
      <c r="B52" s="283" t="s">
        <v>823</v>
      </c>
      <c r="C52" s="271" t="s">
        <v>920</v>
      </c>
      <c r="D52" s="272" t="s">
        <v>1059</v>
      </c>
      <c r="E52" s="293"/>
      <c r="F52" s="293"/>
      <c r="G52" s="293"/>
      <c r="H52" s="427">
        <f t="shared" si="2"/>
        <v>0</v>
      </c>
      <c r="I52" s="427">
        <f t="shared" si="3"/>
        <v>285</v>
      </c>
      <c r="J52" s="275"/>
      <c r="K52" s="276">
        <v>285</v>
      </c>
      <c r="L52" s="277"/>
      <c r="M52" s="278"/>
      <c r="N52" s="651"/>
      <c r="O52" s="545"/>
      <c r="P52" s="279"/>
      <c r="Q52" s="280"/>
      <c r="R52" s="195"/>
      <c r="S52" s="195"/>
      <c r="T52" s="195"/>
      <c r="U52" s="195"/>
      <c r="V52" s="195"/>
      <c r="W52" s="195"/>
      <c r="X52" s="195"/>
      <c r="Y52" s="683"/>
      <c r="Z52" s="733"/>
      <c r="AA52" s="281"/>
      <c r="AB52" s="282">
        <v>285</v>
      </c>
      <c r="AC52" s="282"/>
      <c r="AD52" s="282"/>
      <c r="AE52" s="282"/>
      <c r="AF52" s="282"/>
    </row>
    <row r="53" spans="1:32" ht="12">
      <c r="A53" s="684" t="s">
        <v>398</v>
      </c>
      <c r="B53" s="283" t="s">
        <v>1055</v>
      </c>
      <c r="C53" s="271" t="s">
        <v>1055</v>
      </c>
      <c r="D53" s="272" t="s">
        <v>882</v>
      </c>
      <c r="E53" s="293"/>
      <c r="F53" s="293"/>
      <c r="G53" s="293" t="s">
        <v>1054</v>
      </c>
      <c r="H53" s="427">
        <f t="shared" si="2"/>
        <v>8.15</v>
      </c>
      <c r="I53" s="427">
        <f t="shared" si="3"/>
        <v>0</v>
      </c>
      <c r="J53" s="275">
        <v>8.15</v>
      </c>
      <c r="K53" s="276"/>
      <c r="L53" s="277"/>
      <c r="M53" s="278"/>
      <c r="N53" s="651"/>
      <c r="O53" s="545"/>
      <c r="P53" s="279"/>
      <c r="Q53" s="280"/>
      <c r="R53" s="195"/>
      <c r="S53" s="195"/>
      <c r="T53" s="195">
        <v>8.15</v>
      </c>
      <c r="U53" s="195"/>
      <c r="V53" s="195"/>
      <c r="W53" s="195"/>
      <c r="X53" s="195"/>
      <c r="Y53" s="683"/>
      <c r="Z53" s="733"/>
      <c r="AA53" s="281"/>
      <c r="AB53" s="282"/>
      <c r="AC53" s="282"/>
      <c r="AD53" s="282"/>
      <c r="AE53" s="282"/>
      <c r="AF53" s="282"/>
    </row>
    <row r="54" spans="1:32" ht="12">
      <c r="A54" s="684" t="s">
        <v>407</v>
      </c>
      <c r="B54" s="283" t="s">
        <v>1055</v>
      </c>
      <c r="C54" s="271" t="s">
        <v>1055</v>
      </c>
      <c r="D54" s="272" t="s">
        <v>882</v>
      </c>
      <c r="E54" s="293"/>
      <c r="F54" s="293"/>
      <c r="G54" s="293" t="s">
        <v>1054</v>
      </c>
      <c r="H54" s="427">
        <f t="shared" si="2"/>
        <v>31.98</v>
      </c>
      <c r="I54" s="427">
        <f t="shared" si="3"/>
        <v>0</v>
      </c>
      <c r="J54" s="275">
        <v>31.98</v>
      </c>
      <c r="K54" s="276"/>
      <c r="L54" s="277"/>
      <c r="M54" s="278"/>
      <c r="N54" s="651"/>
      <c r="O54" s="545"/>
      <c r="P54" s="279"/>
      <c r="Q54" s="280"/>
      <c r="R54" s="195"/>
      <c r="S54" s="195"/>
      <c r="T54" s="195">
        <v>31.98</v>
      </c>
      <c r="U54" s="195"/>
      <c r="V54" s="195"/>
      <c r="W54" s="195"/>
      <c r="X54" s="195"/>
      <c r="Y54" s="683"/>
      <c r="Z54" s="733"/>
      <c r="AA54" s="281"/>
      <c r="AB54" s="282"/>
      <c r="AC54" s="282"/>
      <c r="AD54" s="282"/>
      <c r="AE54" s="282"/>
      <c r="AF54" s="282"/>
    </row>
    <row r="55" spans="1:32" ht="12">
      <c r="A55" s="684" t="s">
        <v>407</v>
      </c>
      <c r="B55" s="283" t="s">
        <v>455</v>
      </c>
      <c r="C55" s="271" t="s">
        <v>456</v>
      </c>
      <c r="D55" s="272" t="s">
        <v>882</v>
      </c>
      <c r="E55" s="293"/>
      <c r="F55" s="293"/>
      <c r="G55" s="293" t="s">
        <v>1054</v>
      </c>
      <c r="H55" s="427">
        <f t="shared" si="2"/>
        <v>44.2</v>
      </c>
      <c r="I55" s="427">
        <f t="shared" si="3"/>
        <v>0</v>
      </c>
      <c r="J55" s="275">
        <v>44.2</v>
      </c>
      <c r="K55" s="276"/>
      <c r="L55" s="277"/>
      <c r="M55" s="278"/>
      <c r="N55" s="651"/>
      <c r="O55" s="545"/>
      <c r="P55" s="279"/>
      <c r="Q55" s="280"/>
      <c r="R55" s="195"/>
      <c r="S55" s="195"/>
      <c r="T55" s="195">
        <v>44.2</v>
      </c>
      <c r="U55" s="195"/>
      <c r="V55" s="195"/>
      <c r="W55" s="195"/>
      <c r="X55" s="195"/>
      <c r="Y55" s="683"/>
      <c r="Z55" s="733"/>
      <c r="AA55" s="281"/>
      <c r="AB55" s="282"/>
      <c r="AC55" s="282"/>
      <c r="AD55" s="282"/>
      <c r="AE55" s="282"/>
      <c r="AF55" s="282"/>
    </row>
    <row r="56" spans="1:32" ht="12">
      <c r="A56" s="684" t="s">
        <v>427</v>
      </c>
      <c r="B56" s="283" t="s">
        <v>1051</v>
      </c>
      <c r="C56" s="271" t="s">
        <v>457</v>
      </c>
      <c r="D56" s="272"/>
      <c r="E56" s="293"/>
      <c r="F56" s="293"/>
      <c r="G56" s="293"/>
      <c r="H56" s="427">
        <f t="shared" si="2"/>
        <v>21.53</v>
      </c>
      <c r="I56" s="427">
        <f t="shared" si="3"/>
        <v>0</v>
      </c>
      <c r="J56" s="275">
        <v>21.53</v>
      </c>
      <c r="K56" s="276"/>
      <c r="L56" s="277"/>
      <c r="M56" s="278"/>
      <c r="N56" s="651"/>
      <c r="O56" s="545"/>
      <c r="P56" s="279"/>
      <c r="Q56" s="280"/>
      <c r="R56" s="195"/>
      <c r="S56" s="195"/>
      <c r="T56" s="195"/>
      <c r="U56" s="195"/>
      <c r="V56" s="195"/>
      <c r="W56" s="195"/>
      <c r="X56" s="195">
        <v>21.53</v>
      </c>
      <c r="Y56" s="683"/>
      <c r="Z56" s="733"/>
      <c r="AA56" s="281"/>
      <c r="AB56" s="282"/>
      <c r="AC56" s="282"/>
      <c r="AD56" s="282"/>
      <c r="AE56" s="282"/>
      <c r="AF56" s="282"/>
    </row>
    <row r="57" spans="1:32" ht="12">
      <c r="A57" s="684" t="s">
        <v>427</v>
      </c>
      <c r="B57" s="283" t="s">
        <v>458</v>
      </c>
      <c r="C57" s="271" t="s">
        <v>459</v>
      </c>
      <c r="D57" s="272" t="s">
        <v>239</v>
      </c>
      <c r="E57" s="293" t="s">
        <v>1054</v>
      </c>
      <c r="F57" s="293"/>
      <c r="G57" s="293"/>
      <c r="H57" s="427">
        <f t="shared" si="2"/>
        <v>85.21</v>
      </c>
      <c r="I57" s="427">
        <f t="shared" si="3"/>
        <v>0</v>
      </c>
      <c r="J57" s="275">
        <v>85.21</v>
      </c>
      <c r="K57" s="276"/>
      <c r="L57" s="277"/>
      <c r="M57" s="278"/>
      <c r="N57" s="651"/>
      <c r="O57" s="545"/>
      <c r="P57" s="279"/>
      <c r="Q57" s="280"/>
      <c r="R57" s="195"/>
      <c r="S57" s="195"/>
      <c r="T57" s="195">
        <v>47.96</v>
      </c>
      <c r="U57" s="195"/>
      <c r="V57" s="195"/>
      <c r="W57" s="195"/>
      <c r="X57" s="195">
        <v>37.25</v>
      </c>
      <c r="Y57" s="683"/>
      <c r="Z57" s="733"/>
      <c r="AA57" s="281"/>
      <c r="AB57" s="282"/>
      <c r="AC57" s="282"/>
      <c r="AD57" s="282"/>
      <c r="AE57" s="282"/>
      <c r="AF57" s="282"/>
    </row>
    <row r="58" spans="1:32" ht="12">
      <c r="A58" s="684" t="s">
        <v>240</v>
      </c>
      <c r="B58" s="283" t="s">
        <v>680</v>
      </c>
      <c r="C58" s="271" t="s">
        <v>241</v>
      </c>
      <c r="D58" s="272" t="s">
        <v>242</v>
      </c>
      <c r="E58" s="293" t="s">
        <v>1054</v>
      </c>
      <c r="F58" s="293"/>
      <c r="G58" s="293"/>
      <c r="H58" s="427">
        <f t="shared" si="2"/>
        <v>59.7</v>
      </c>
      <c r="I58" s="427">
        <f t="shared" si="3"/>
        <v>0</v>
      </c>
      <c r="J58" s="275">
        <v>59.7</v>
      </c>
      <c r="K58" s="276"/>
      <c r="L58" s="277"/>
      <c r="M58" s="278"/>
      <c r="N58" s="651"/>
      <c r="O58" s="545"/>
      <c r="P58" s="279"/>
      <c r="Q58" s="280"/>
      <c r="R58" s="195"/>
      <c r="S58" s="195"/>
      <c r="T58" s="195"/>
      <c r="U58" s="195"/>
      <c r="V58" s="195">
        <v>59.7</v>
      </c>
      <c r="W58" s="195"/>
      <c r="X58" s="195"/>
      <c r="Y58" s="683"/>
      <c r="Z58" s="733"/>
      <c r="AA58" s="281"/>
      <c r="AB58" s="282"/>
      <c r="AC58" s="282"/>
      <c r="AD58" s="282"/>
      <c r="AE58" s="282"/>
      <c r="AF58" s="282"/>
    </row>
    <row r="59" spans="1:32" ht="12">
      <c r="A59" s="684" t="s">
        <v>240</v>
      </c>
      <c r="B59" s="283" t="s">
        <v>677</v>
      </c>
      <c r="C59" s="271" t="s">
        <v>243</v>
      </c>
      <c r="D59" s="272" t="s">
        <v>244</v>
      </c>
      <c r="E59" s="293" t="s">
        <v>1054</v>
      </c>
      <c r="F59" s="293"/>
      <c r="G59" s="293"/>
      <c r="H59" s="427">
        <f t="shared" si="2"/>
        <v>129.5</v>
      </c>
      <c r="I59" s="427">
        <f t="shared" si="3"/>
        <v>0</v>
      </c>
      <c r="J59" s="275">
        <v>129.5</v>
      </c>
      <c r="K59" s="276"/>
      <c r="L59" s="277"/>
      <c r="M59" s="278"/>
      <c r="N59" s="651"/>
      <c r="O59" s="545"/>
      <c r="P59" s="279"/>
      <c r="Q59" s="280"/>
      <c r="R59" s="195">
        <v>97.97</v>
      </c>
      <c r="S59" s="195"/>
      <c r="T59" s="195"/>
      <c r="U59" s="195"/>
      <c r="V59" s="195">
        <v>31.53</v>
      </c>
      <c r="W59" s="195"/>
      <c r="X59" s="195"/>
      <c r="Y59" s="683"/>
      <c r="Z59" s="733"/>
      <c r="AA59" s="281"/>
      <c r="AB59" s="282"/>
      <c r="AC59" s="282"/>
      <c r="AD59" s="282"/>
      <c r="AE59" s="282"/>
      <c r="AF59" s="282"/>
    </row>
    <row r="60" spans="1:32" ht="12">
      <c r="A60" s="684" t="s">
        <v>240</v>
      </c>
      <c r="B60" s="283" t="s">
        <v>245</v>
      </c>
      <c r="C60" s="271" t="s">
        <v>468</v>
      </c>
      <c r="D60" s="272" t="s">
        <v>469</v>
      </c>
      <c r="E60" s="293" t="s">
        <v>1054</v>
      </c>
      <c r="F60" s="293"/>
      <c r="G60" s="293"/>
      <c r="H60" s="427">
        <f t="shared" si="2"/>
        <v>153.44</v>
      </c>
      <c r="I60" s="427">
        <f t="shared" si="3"/>
        <v>0</v>
      </c>
      <c r="J60" s="275">
        <v>153.44</v>
      </c>
      <c r="K60" s="276"/>
      <c r="L60" s="277"/>
      <c r="M60" s="278"/>
      <c r="N60" s="651"/>
      <c r="O60" s="545"/>
      <c r="P60" s="279"/>
      <c r="Q60" s="280"/>
      <c r="R60" s="195">
        <v>18.24</v>
      </c>
      <c r="S60" s="195"/>
      <c r="T60" s="195">
        <v>17.8</v>
      </c>
      <c r="U60" s="195"/>
      <c r="V60" s="195">
        <v>117.4</v>
      </c>
      <c r="W60" s="195"/>
      <c r="X60" s="195"/>
      <c r="Y60" s="683"/>
      <c r="Z60" s="733"/>
      <c r="AA60" s="281"/>
      <c r="AB60" s="282"/>
      <c r="AC60" s="282"/>
      <c r="AD60" s="282"/>
      <c r="AE60" s="282"/>
      <c r="AF60" s="282"/>
    </row>
    <row r="61" spans="1:32" ht="12">
      <c r="A61" s="684" t="s">
        <v>470</v>
      </c>
      <c r="B61" s="283" t="s">
        <v>949</v>
      </c>
      <c r="C61" s="271" t="s">
        <v>471</v>
      </c>
      <c r="D61" s="272" t="s">
        <v>472</v>
      </c>
      <c r="E61" s="293" t="s">
        <v>1054</v>
      </c>
      <c r="F61" s="293"/>
      <c r="G61" s="293"/>
      <c r="H61" s="427">
        <f t="shared" si="2"/>
        <v>7.25</v>
      </c>
      <c r="I61" s="427">
        <f t="shared" si="3"/>
        <v>0</v>
      </c>
      <c r="J61" s="275">
        <v>7.25</v>
      </c>
      <c r="K61" s="276"/>
      <c r="L61" s="277"/>
      <c r="M61" s="278"/>
      <c r="N61" s="651"/>
      <c r="O61" s="545"/>
      <c r="P61" s="279"/>
      <c r="Q61" s="280"/>
      <c r="R61" s="195">
        <v>7.25</v>
      </c>
      <c r="S61" s="195"/>
      <c r="T61" s="195"/>
      <c r="U61" s="195"/>
      <c r="V61" s="195"/>
      <c r="W61" s="195"/>
      <c r="X61" s="195"/>
      <c r="Y61" s="683"/>
      <c r="Z61" s="733"/>
      <c r="AA61" s="281"/>
      <c r="AB61" s="282"/>
      <c r="AC61" s="282"/>
      <c r="AD61" s="282"/>
      <c r="AE61" s="282"/>
      <c r="AF61" s="282"/>
    </row>
    <row r="62" spans="1:32" ht="12">
      <c r="A62" s="684" t="s">
        <v>470</v>
      </c>
      <c r="B62" s="283" t="s">
        <v>989</v>
      </c>
      <c r="C62" s="271" t="s">
        <v>1056</v>
      </c>
      <c r="D62" s="272" t="s">
        <v>882</v>
      </c>
      <c r="E62" s="293"/>
      <c r="F62" s="293"/>
      <c r="G62" s="293" t="s">
        <v>1054</v>
      </c>
      <c r="H62" s="427">
        <f t="shared" si="2"/>
        <v>770.95</v>
      </c>
      <c r="I62" s="427">
        <f t="shared" si="3"/>
        <v>0</v>
      </c>
      <c r="J62" s="275">
        <v>770.95</v>
      </c>
      <c r="K62" s="276"/>
      <c r="L62" s="277"/>
      <c r="M62" s="278"/>
      <c r="N62" s="651"/>
      <c r="O62" s="545"/>
      <c r="P62" s="279"/>
      <c r="Q62" s="280"/>
      <c r="R62" s="195"/>
      <c r="S62" s="195"/>
      <c r="T62" s="195"/>
      <c r="U62" s="195">
        <v>770.95</v>
      </c>
      <c r="V62" s="195"/>
      <c r="W62" s="195"/>
      <c r="X62" s="195"/>
      <c r="Y62" s="683"/>
      <c r="Z62" s="733"/>
      <c r="AA62" s="281"/>
      <c r="AB62" s="282"/>
      <c r="AC62" s="282"/>
      <c r="AD62" s="282"/>
      <c r="AE62" s="282"/>
      <c r="AF62" s="282"/>
    </row>
    <row r="63" spans="1:32" ht="12">
      <c r="A63" s="684" t="s">
        <v>250</v>
      </c>
      <c r="B63" s="283" t="s">
        <v>1051</v>
      </c>
      <c r="C63" s="271" t="s">
        <v>251</v>
      </c>
      <c r="D63" s="272"/>
      <c r="E63" s="293"/>
      <c r="F63" s="293"/>
      <c r="G63" s="293"/>
      <c r="H63" s="427">
        <f t="shared" si="2"/>
        <v>0</v>
      </c>
      <c r="I63" s="427">
        <f t="shared" si="3"/>
        <v>4080</v>
      </c>
      <c r="J63" s="275"/>
      <c r="K63" s="276">
        <v>4080</v>
      </c>
      <c r="L63" s="277"/>
      <c r="M63" s="278"/>
      <c r="N63" s="651"/>
      <c r="O63" s="545"/>
      <c r="P63" s="279"/>
      <c r="Q63" s="280"/>
      <c r="R63" s="195"/>
      <c r="S63" s="195"/>
      <c r="T63" s="195"/>
      <c r="U63" s="195"/>
      <c r="V63" s="195"/>
      <c r="W63" s="195"/>
      <c r="X63" s="195"/>
      <c r="Y63" s="683"/>
      <c r="Z63" s="733">
        <v>4080</v>
      </c>
      <c r="AA63" s="281"/>
      <c r="AB63" s="282"/>
      <c r="AC63" s="282"/>
      <c r="AD63" s="282"/>
      <c r="AE63" s="282"/>
      <c r="AF63" s="282"/>
    </row>
    <row r="64" spans="1:32" ht="12">
      <c r="A64" s="684" t="s">
        <v>250</v>
      </c>
      <c r="B64" s="283" t="s">
        <v>1051</v>
      </c>
      <c r="C64" s="271" t="s">
        <v>251</v>
      </c>
      <c r="D64" s="272"/>
      <c r="E64" s="293"/>
      <c r="F64" s="293"/>
      <c r="G64" s="293"/>
      <c r="H64" s="427">
        <f t="shared" si="2"/>
        <v>4080</v>
      </c>
      <c r="I64" s="427">
        <f t="shared" si="3"/>
        <v>0</v>
      </c>
      <c r="J64" s="275"/>
      <c r="K64" s="276"/>
      <c r="L64" s="277"/>
      <c r="M64" s="278"/>
      <c r="N64" s="651"/>
      <c r="O64" s="545"/>
      <c r="P64" s="279">
        <v>4080</v>
      </c>
      <c r="Q64" s="280"/>
      <c r="R64" s="195"/>
      <c r="S64" s="195"/>
      <c r="T64" s="195"/>
      <c r="U64" s="195"/>
      <c r="V64" s="195"/>
      <c r="W64" s="195"/>
      <c r="X64" s="195"/>
      <c r="Y64" s="683">
        <v>4080</v>
      </c>
      <c r="Z64" s="733"/>
      <c r="AA64" s="281"/>
      <c r="AB64" s="282"/>
      <c r="AC64" s="282"/>
      <c r="AD64" s="282"/>
      <c r="AE64" s="282"/>
      <c r="AF64" s="282"/>
    </row>
    <row r="65" spans="1:32" ht="12">
      <c r="A65" s="684" t="s">
        <v>252</v>
      </c>
      <c r="B65" s="283" t="s">
        <v>986</v>
      </c>
      <c r="C65" s="271" t="s">
        <v>253</v>
      </c>
      <c r="D65" s="272" t="s">
        <v>254</v>
      </c>
      <c r="E65" s="293" t="s">
        <v>1054</v>
      </c>
      <c r="F65" s="293"/>
      <c r="G65" s="293"/>
      <c r="H65" s="427">
        <f t="shared" si="2"/>
        <v>598.09</v>
      </c>
      <c r="I65" s="427">
        <f t="shared" si="3"/>
        <v>0</v>
      </c>
      <c r="J65" s="275">
        <v>598.09</v>
      </c>
      <c r="K65" s="276"/>
      <c r="L65" s="277"/>
      <c r="M65" s="278"/>
      <c r="N65" s="651"/>
      <c r="O65" s="545"/>
      <c r="P65" s="279"/>
      <c r="Q65" s="280"/>
      <c r="R65" s="195"/>
      <c r="S65" s="195"/>
      <c r="T65" s="195"/>
      <c r="U65" s="195"/>
      <c r="V65" s="195"/>
      <c r="W65" s="195"/>
      <c r="X65" s="195">
        <v>598.09</v>
      </c>
      <c r="Y65" s="683"/>
      <c r="Z65" s="733"/>
      <c r="AA65" s="281"/>
      <c r="AB65" s="282"/>
      <c r="AC65" s="282"/>
      <c r="AD65" s="282"/>
      <c r="AE65" s="282"/>
      <c r="AF65" s="282"/>
    </row>
    <row r="66" spans="1:32" ht="12">
      <c r="A66" s="684" t="s">
        <v>255</v>
      </c>
      <c r="B66" s="283" t="s">
        <v>477</v>
      </c>
      <c r="C66" s="271" t="s">
        <v>478</v>
      </c>
      <c r="D66" s="272" t="s">
        <v>479</v>
      </c>
      <c r="E66" s="293" t="s">
        <v>1054</v>
      </c>
      <c r="F66" s="293"/>
      <c r="G66" s="293"/>
      <c r="H66" s="427">
        <f t="shared" si="2"/>
        <v>38</v>
      </c>
      <c r="I66" s="427">
        <f t="shared" si="3"/>
        <v>0</v>
      </c>
      <c r="J66" s="275">
        <v>38</v>
      </c>
      <c r="K66" s="276"/>
      <c r="L66" s="277"/>
      <c r="M66" s="278"/>
      <c r="N66" s="651"/>
      <c r="O66" s="545"/>
      <c r="P66" s="279"/>
      <c r="Q66" s="280"/>
      <c r="R66" s="195"/>
      <c r="S66" s="195"/>
      <c r="T66" s="195"/>
      <c r="U66" s="195"/>
      <c r="V66" s="195"/>
      <c r="W66" s="195"/>
      <c r="X66" s="195">
        <v>38</v>
      </c>
      <c r="Y66" s="683"/>
      <c r="Z66" s="733"/>
      <c r="AA66" s="281"/>
      <c r="AB66" s="282"/>
      <c r="AC66" s="282"/>
      <c r="AD66" s="282"/>
      <c r="AE66" s="282"/>
      <c r="AF66" s="282"/>
    </row>
    <row r="67" spans="1:32" ht="12">
      <c r="A67" s="684" t="s">
        <v>255</v>
      </c>
      <c r="B67" s="283" t="s">
        <v>555</v>
      </c>
      <c r="C67" s="271" t="s">
        <v>480</v>
      </c>
      <c r="D67" s="272" t="s">
        <v>481</v>
      </c>
      <c r="E67" s="293" t="s">
        <v>1054</v>
      </c>
      <c r="F67" s="293"/>
      <c r="G67" s="293"/>
      <c r="H67" s="427">
        <f t="shared" si="2"/>
        <v>679.44</v>
      </c>
      <c r="I67" s="427">
        <f t="shared" si="3"/>
        <v>0</v>
      </c>
      <c r="J67" s="275">
        <v>679.44</v>
      </c>
      <c r="K67" s="276"/>
      <c r="L67" s="277"/>
      <c r="M67" s="278"/>
      <c r="N67" s="651"/>
      <c r="O67" s="545"/>
      <c r="P67" s="279"/>
      <c r="Q67" s="280"/>
      <c r="R67" s="195"/>
      <c r="S67" s="195"/>
      <c r="T67" s="195"/>
      <c r="U67" s="195"/>
      <c r="V67" s="195"/>
      <c r="W67" s="195">
        <v>679.44</v>
      </c>
      <c r="X67" s="195"/>
      <c r="Y67" s="683"/>
      <c r="Z67" s="733"/>
      <c r="AA67" s="281"/>
      <c r="AB67" s="282"/>
      <c r="AC67" s="282"/>
      <c r="AD67" s="282"/>
      <c r="AE67" s="282"/>
      <c r="AF67" s="282"/>
    </row>
    <row r="68" spans="1:32" ht="9.75" customHeight="1">
      <c r="A68" s="684" t="s">
        <v>482</v>
      </c>
      <c r="B68" s="283" t="s">
        <v>1057</v>
      </c>
      <c r="C68" s="271" t="s">
        <v>483</v>
      </c>
      <c r="D68" s="272" t="s">
        <v>484</v>
      </c>
      <c r="E68" s="293" t="s">
        <v>1054</v>
      </c>
      <c r="F68" s="293"/>
      <c r="G68" s="293"/>
      <c r="H68" s="427">
        <f t="shared" si="2"/>
        <v>112</v>
      </c>
      <c r="I68" s="427">
        <f t="shared" si="3"/>
        <v>0</v>
      </c>
      <c r="J68" s="275">
        <v>112</v>
      </c>
      <c r="K68" s="276"/>
      <c r="L68" s="277"/>
      <c r="M68" s="278"/>
      <c r="N68" s="651"/>
      <c r="O68" s="545"/>
      <c r="P68" s="279"/>
      <c r="Q68" s="280"/>
      <c r="R68" s="195">
        <v>112</v>
      </c>
      <c r="S68" s="195"/>
      <c r="T68" s="195"/>
      <c r="U68" s="195"/>
      <c r="V68" s="195"/>
      <c r="W68" s="195"/>
      <c r="X68" s="195"/>
      <c r="Y68" s="683"/>
      <c r="Z68" s="733"/>
      <c r="AA68" s="281"/>
      <c r="AB68" s="282"/>
      <c r="AC68" s="282"/>
      <c r="AD68" s="282"/>
      <c r="AE68" s="282"/>
      <c r="AF68" s="282"/>
    </row>
    <row r="69" spans="1:32" ht="12">
      <c r="A69" s="684" t="s">
        <v>482</v>
      </c>
      <c r="B69" s="283" t="s">
        <v>263</v>
      </c>
      <c r="C69" s="271" t="s">
        <v>264</v>
      </c>
      <c r="D69" s="272" t="s">
        <v>265</v>
      </c>
      <c r="E69" s="293" t="s">
        <v>1054</v>
      </c>
      <c r="F69" s="293"/>
      <c r="G69" s="293"/>
      <c r="H69" s="427">
        <f t="shared" si="2"/>
        <v>340</v>
      </c>
      <c r="I69" s="427">
        <f t="shared" si="3"/>
        <v>0</v>
      </c>
      <c r="J69" s="275">
        <v>340</v>
      </c>
      <c r="K69" s="276"/>
      <c r="L69" s="277"/>
      <c r="M69" s="278"/>
      <c r="N69" s="651"/>
      <c r="O69" s="545"/>
      <c r="P69" s="279"/>
      <c r="Q69" s="280"/>
      <c r="R69" s="195"/>
      <c r="S69" s="195"/>
      <c r="T69" s="195">
        <v>340</v>
      </c>
      <c r="U69" s="195"/>
      <c r="V69" s="195"/>
      <c r="W69" s="195"/>
      <c r="X69" s="195"/>
      <c r="Y69" s="683"/>
      <c r="Z69" s="733"/>
      <c r="AA69" s="281"/>
      <c r="AB69" s="282"/>
      <c r="AC69" s="282"/>
      <c r="AD69" s="282"/>
      <c r="AE69" s="282"/>
      <c r="AF69" s="282"/>
    </row>
    <row r="70" spans="1:32" ht="12">
      <c r="A70" s="684" t="s">
        <v>266</v>
      </c>
      <c r="B70" s="283" t="s">
        <v>674</v>
      </c>
      <c r="C70" s="271" t="s">
        <v>267</v>
      </c>
      <c r="D70" s="272" t="s">
        <v>268</v>
      </c>
      <c r="E70" s="293" t="s">
        <v>1054</v>
      </c>
      <c r="F70" s="293"/>
      <c r="G70" s="293"/>
      <c r="H70" s="427">
        <f t="shared" si="2"/>
        <v>27.07</v>
      </c>
      <c r="I70" s="427">
        <f t="shared" si="3"/>
        <v>0</v>
      </c>
      <c r="J70" s="275">
        <v>27.07</v>
      </c>
      <c r="K70" s="276"/>
      <c r="L70" s="277"/>
      <c r="M70" s="278"/>
      <c r="N70" s="651"/>
      <c r="O70" s="545"/>
      <c r="P70" s="279"/>
      <c r="Q70" s="280"/>
      <c r="R70" s="195"/>
      <c r="S70" s="195"/>
      <c r="T70" s="195"/>
      <c r="U70" s="195"/>
      <c r="V70" s="195">
        <v>27.07</v>
      </c>
      <c r="W70" s="195"/>
      <c r="X70" s="195"/>
      <c r="Y70" s="683"/>
      <c r="Z70" s="733"/>
      <c r="AA70" s="281"/>
      <c r="AB70" s="282"/>
      <c r="AC70" s="282"/>
      <c r="AD70" s="282"/>
      <c r="AE70" s="282"/>
      <c r="AF70" s="282"/>
    </row>
    <row r="71" spans="1:32" ht="12">
      <c r="A71" s="684" t="s">
        <v>266</v>
      </c>
      <c r="B71" s="283" t="s">
        <v>269</v>
      </c>
      <c r="C71" s="271" t="s">
        <v>270</v>
      </c>
      <c r="D71" s="272" t="s">
        <v>271</v>
      </c>
      <c r="E71" s="293" t="s">
        <v>1054</v>
      </c>
      <c r="F71" s="293"/>
      <c r="G71" s="293"/>
      <c r="H71" s="427">
        <f t="shared" si="2"/>
        <v>34.66</v>
      </c>
      <c r="I71" s="427">
        <f t="shared" si="3"/>
        <v>0</v>
      </c>
      <c r="J71" s="275">
        <v>34.66</v>
      </c>
      <c r="K71" s="276"/>
      <c r="L71" s="277"/>
      <c r="M71" s="278"/>
      <c r="N71" s="651"/>
      <c r="O71" s="545"/>
      <c r="P71" s="279"/>
      <c r="Q71" s="280"/>
      <c r="R71" s="195"/>
      <c r="S71" s="195"/>
      <c r="T71" s="195"/>
      <c r="U71" s="195"/>
      <c r="V71" s="195">
        <v>34.66</v>
      </c>
      <c r="W71" s="195"/>
      <c r="X71" s="195"/>
      <c r="Y71" s="683"/>
      <c r="Z71" s="733"/>
      <c r="AA71" s="281"/>
      <c r="AB71" s="282"/>
      <c r="AC71" s="282"/>
      <c r="AD71" s="282"/>
      <c r="AE71" s="282"/>
      <c r="AF71" s="282"/>
    </row>
    <row r="72" spans="1:32" ht="12">
      <c r="A72" s="684" t="s">
        <v>272</v>
      </c>
      <c r="B72" s="283" t="s">
        <v>273</v>
      </c>
      <c r="C72" s="271" t="s">
        <v>274</v>
      </c>
      <c r="D72" s="272" t="s">
        <v>275</v>
      </c>
      <c r="E72" s="293" t="s">
        <v>1054</v>
      </c>
      <c r="F72" s="293"/>
      <c r="G72" s="293"/>
      <c r="H72" s="427">
        <f t="shared" si="2"/>
        <v>67.91</v>
      </c>
      <c r="I72" s="427">
        <f t="shared" si="3"/>
        <v>0</v>
      </c>
      <c r="J72" s="275">
        <v>67.91</v>
      </c>
      <c r="K72" s="276"/>
      <c r="L72" s="277"/>
      <c r="M72" s="278"/>
      <c r="N72" s="651"/>
      <c r="O72" s="545"/>
      <c r="P72" s="279"/>
      <c r="Q72" s="280"/>
      <c r="R72" s="195"/>
      <c r="S72" s="195"/>
      <c r="T72" s="195"/>
      <c r="U72" s="195"/>
      <c r="V72" s="195">
        <v>11.5</v>
      </c>
      <c r="W72" s="195"/>
      <c r="X72" s="195">
        <v>56.41</v>
      </c>
      <c r="Y72" s="683"/>
      <c r="Z72" s="733"/>
      <c r="AA72" s="281"/>
      <c r="AB72" s="282"/>
      <c r="AC72" s="282"/>
      <c r="AD72" s="282"/>
      <c r="AE72" s="282"/>
      <c r="AF72" s="282"/>
    </row>
    <row r="73" spans="1:32" ht="12">
      <c r="A73" s="684" t="s">
        <v>272</v>
      </c>
      <c r="B73" s="283" t="s">
        <v>823</v>
      </c>
      <c r="C73" s="271" t="s">
        <v>276</v>
      </c>
      <c r="D73" s="272" t="s">
        <v>1059</v>
      </c>
      <c r="E73" s="293"/>
      <c r="F73" s="293"/>
      <c r="G73" s="293"/>
      <c r="H73" s="427">
        <f t="shared" si="2"/>
        <v>0</v>
      </c>
      <c r="I73" s="427">
        <f t="shared" si="3"/>
        <v>56</v>
      </c>
      <c r="J73" s="275"/>
      <c r="K73" s="276">
        <v>56</v>
      </c>
      <c r="L73" s="277"/>
      <c r="M73" s="278"/>
      <c r="N73" s="651"/>
      <c r="O73" s="545"/>
      <c r="P73" s="279"/>
      <c r="Q73" s="280"/>
      <c r="R73" s="195"/>
      <c r="S73" s="195"/>
      <c r="T73" s="195"/>
      <c r="U73" s="195"/>
      <c r="V73" s="195"/>
      <c r="W73" s="195"/>
      <c r="X73" s="195"/>
      <c r="Y73" s="683"/>
      <c r="Z73" s="733"/>
      <c r="AA73" s="281"/>
      <c r="AB73" s="282"/>
      <c r="AC73" s="282">
        <v>56</v>
      </c>
      <c r="AD73" s="282"/>
      <c r="AE73" s="282"/>
      <c r="AF73" s="282"/>
    </row>
    <row r="74" spans="1:32" ht="12">
      <c r="A74" s="684" t="s">
        <v>447</v>
      </c>
      <c r="B74" s="283" t="s">
        <v>277</v>
      </c>
      <c r="C74" s="271" t="s">
        <v>732</v>
      </c>
      <c r="D74" s="272" t="s">
        <v>278</v>
      </c>
      <c r="E74" s="293"/>
      <c r="F74" s="293" t="s">
        <v>1054</v>
      </c>
      <c r="G74" s="293"/>
      <c r="H74" s="427">
        <f t="shared" si="2"/>
        <v>0</v>
      </c>
      <c r="I74" s="427">
        <f t="shared" si="3"/>
        <v>12</v>
      </c>
      <c r="J74" s="275"/>
      <c r="K74" s="276"/>
      <c r="L74" s="277"/>
      <c r="M74" s="278"/>
      <c r="N74" s="651"/>
      <c r="O74" s="545"/>
      <c r="P74" s="279"/>
      <c r="Q74" s="280">
        <v>12</v>
      </c>
      <c r="R74" s="195"/>
      <c r="S74" s="195"/>
      <c r="T74" s="195"/>
      <c r="U74" s="195"/>
      <c r="V74" s="195"/>
      <c r="W74" s="195"/>
      <c r="X74" s="195"/>
      <c r="Y74" s="683"/>
      <c r="Z74" s="733"/>
      <c r="AA74" s="281"/>
      <c r="AB74" s="282"/>
      <c r="AC74" s="282">
        <v>12</v>
      </c>
      <c r="AD74" s="282"/>
      <c r="AE74" s="282"/>
      <c r="AF74" s="282"/>
    </row>
    <row r="75" spans="1:32" ht="12">
      <c r="A75" s="684" t="s">
        <v>447</v>
      </c>
      <c r="B75" s="283" t="s">
        <v>279</v>
      </c>
      <c r="C75" s="271" t="s">
        <v>280</v>
      </c>
      <c r="D75" s="272" t="s">
        <v>281</v>
      </c>
      <c r="E75" s="293"/>
      <c r="F75" s="293" t="s">
        <v>1054</v>
      </c>
      <c r="G75" s="293"/>
      <c r="H75" s="427">
        <f t="shared" si="2"/>
        <v>0</v>
      </c>
      <c r="I75" s="427">
        <f t="shared" si="3"/>
        <v>25.5</v>
      </c>
      <c r="J75" s="275"/>
      <c r="K75" s="276"/>
      <c r="L75" s="277"/>
      <c r="M75" s="278"/>
      <c r="N75" s="651"/>
      <c r="O75" s="545"/>
      <c r="P75" s="279"/>
      <c r="Q75" s="280">
        <v>25.5</v>
      </c>
      <c r="R75" s="195"/>
      <c r="S75" s="195"/>
      <c r="T75" s="195"/>
      <c r="U75" s="195"/>
      <c r="V75" s="195"/>
      <c r="W75" s="195"/>
      <c r="X75" s="195"/>
      <c r="Y75" s="683"/>
      <c r="Z75" s="733"/>
      <c r="AA75" s="281"/>
      <c r="AB75" s="282"/>
      <c r="AC75" s="282">
        <v>25.5</v>
      </c>
      <c r="AD75" s="282"/>
      <c r="AE75" s="282"/>
      <c r="AF75" s="282"/>
    </row>
    <row r="76" spans="1:32" ht="12">
      <c r="A76" s="684" t="s">
        <v>447</v>
      </c>
      <c r="B76" s="283" t="s">
        <v>282</v>
      </c>
      <c r="C76" s="271" t="s">
        <v>493</v>
      </c>
      <c r="D76" s="272" t="s">
        <v>460</v>
      </c>
      <c r="E76" s="293"/>
      <c r="F76" s="293" t="s">
        <v>1054</v>
      </c>
      <c r="G76" s="293"/>
      <c r="H76" s="427">
        <f t="shared" si="2"/>
        <v>0</v>
      </c>
      <c r="I76" s="427">
        <f t="shared" si="3"/>
        <v>31.8</v>
      </c>
      <c r="J76" s="275"/>
      <c r="K76" s="276"/>
      <c r="L76" s="277"/>
      <c r="M76" s="278"/>
      <c r="N76" s="651"/>
      <c r="O76" s="545"/>
      <c r="P76" s="279"/>
      <c r="Q76" s="280">
        <v>31.8</v>
      </c>
      <c r="R76" s="195"/>
      <c r="S76" s="195"/>
      <c r="T76" s="195"/>
      <c r="U76" s="195"/>
      <c r="V76" s="195"/>
      <c r="W76" s="195"/>
      <c r="X76" s="195"/>
      <c r="Y76" s="683"/>
      <c r="Z76" s="733"/>
      <c r="AA76" s="281"/>
      <c r="AB76" s="282"/>
      <c r="AC76" s="282">
        <v>31.8</v>
      </c>
      <c r="AD76" s="282"/>
      <c r="AE76" s="282"/>
      <c r="AF76" s="282"/>
    </row>
    <row r="77" spans="1:32" ht="12">
      <c r="A77" s="684" t="s">
        <v>283</v>
      </c>
      <c r="B77" s="283" t="s">
        <v>284</v>
      </c>
      <c r="C77" s="271" t="s">
        <v>732</v>
      </c>
      <c r="D77" s="272" t="s">
        <v>285</v>
      </c>
      <c r="E77" s="293"/>
      <c r="F77" s="293" t="s">
        <v>1054</v>
      </c>
      <c r="G77" s="293"/>
      <c r="H77" s="427">
        <f t="shared" si="2"/>
        <v>0</v>
      </c>
      <c r="I77" s="427">
        <f t="shared" si="3"/>
        <v>12</v>
      </c>
      <c r="J77" s="275"/>
      <c r="K77" s="276"/>
      <c r="L77" s="277"/>
      <c r="M77" s="278"/>
      <c r="N77" s="651"/>
      <c r="O77" s="545"/>
      <c r="P77" s="279"/>
      <c r="Q77" s="280">
        <v>12</v>
      </c>
      <c r="R77" s="195"/>
      <c r="S77" s="195"/>
      <c r="T77" s="195"/>
      <c r="U77" s="195"/>
      <c r="V77" s="195"/>
      <c r="W77" s="195"/>
      <c r="X77" s="195"/>
      <c r="Y77" s="683"/>
      <c r="Z77" s="733"/>
      <c r="AA77" s="281"/>
      <c r="AB77" s="282"/>
      <c r="AC77" s="282">
        <v>12</v>
      </c>
      <c r="AD77" s="282"/>
      <c r="AE77" s="282"/>
      <c r="AF77" s="282"/>
    </row>
    <row r="78" spans="1:32" ht="12">
      <c r="A78" s="684" t="s">
        <v>283</v>
      </c>
      <c r="B78" s="283" t="s">
        <v>286</v>
      </c>
      <c r="C78" s="271" t="s">
        <v>493</v>
      </c>
      <c r="D78" s="272" t="s">
        <v>860</v>
      </c>
      <c r="E78" s="293"/>
      <c r="F78" s="293" t="s">
        <v>1054</v>
      </c>
      <c r="G78" s="293"/>
      <c r="H78" s="427">
        <f t="shared" si="2"/>
        <v>0</v>
      </c>
      <c r="I78" s="427">
        <f t="shared" si="3"/>
        <v>27.8</v>
      </c>
      <c r="J78" s="275"/>
      <c r="K78" s="276"/>
      <c r="L78" s="277"/>
      <c r="M78" s="278"/>
      <c r="N78" s="651"/>
      <c r="O78" s="545"/>
      <c r="P78" s="279"/>
      <c r="Q78" s="280">
        <v>27.8</v>
      </c>
      <c r="R78" s="195"/>
      <c r="S78" s="195"/>
      <c r="T78" s="195"/>
      <c r="U78" s="195"/>
      <c r="V78" s="195"/>
      <c r="W78" s="195"/>
      <c r="X78" s="195"/>
      <c r="Y78" s="683"/>
      <c r="Z78" s="733"/>
      <c r="AA78" s="281"/>
      <c r="AB78" s="282"/>
      <c r="AC78" s="282">
        <v>27.8</v>
      </c>
      <c r="AD78" s="282"/>
      <c r="AE78" s="282"/>
      <c r="AF78" s="282"/>
    </row>
    <row r="79" spans="1:32" ht="12">
      <c r="A79" s="684" t="s">
        <v>283</v>
      </c>
      <c r="B79" s="283" t="s">
        <v>287</v>
      </c>
      <c r="C79" s="271" t="s">
        <v>493</v>
      </c>
      <c r="D79" s="272" t="s">
        <v>288</v>
      </c>
      <c r="E79" s="293"/>
      <c r="F79" s="293" t="s">
        <v>1054</v>
      </c>
      <c r="G79" s="293"/>
      <c r="H79" s="427">
        <f t="shared" si="2"/>
        <v>0</v>
      </c>
      <c r="I79" s="427">
        <f t="shared" si="3"/>
        <v>32</v>
      </c>
      <c r="J79" s="275"/>
      <c r="K79" s="276"/>
      <c r="L79" s="277"/>
      <c r="M79" s="278"/>
      <c r="N79" s="651"/>
      <c r="O79" s="545"/>
      <c r="P79" s="279"/>
      <c r="Q79" s="280">
        <v>32</v>
      </c>
      <c r="R79" s="195"/>
      <c r="S79" s="195"/>
      <c r="T79" s="195"/>
      <c r="U79" s="195"/>
      <c r="V79" s="195"/>
      <c r="W79" s="195"/>
      <c r="X79" s="195"/>
      <c r="Y79" s="683"/>
      <c r="Z79" s="733"/>
      <c r="AA79" s="281"/>
      <c r="AB79" s="282"/>
      <c r="AC79" s="282">
        <v>32</v>
      </c>
      <c r="AD79" s="282"/>
      <c r="AE79" s="282"/>
      <c r="AF79" s="282"/>
    </row>
    <row r="80" spans="1:32" ht="12">
      <c r="A80" s="684" t="s">
        <v>289</v>
      </c>
      <c r="B80" s="283" t="s">
        <v>290</v>
      </c>
      <c r="C80" s="271" t="s">
        <v>673</v>
      </c>
      <c r="D80" s="272" t="s">
        <v>291</v>
      </c>
      <c r="E80" s="293"/>
      <c r="F80" s="293" t="s">
        <v>1054</v>
      </c>
      <c r="G80" s="293"/>
      <c r="H80" s="427">
        <f t="shared" si="2"/>
        <v>0</v>
      </c>
      <c r="I80" s="427">
        <f t="shared" si="3"/>
        <v>23.4</v>
      </c>
      <c r="J80" s="275"/>
      <c r="K80" s="276"/>
      <c r="L80" s="277"/>
      <c r="M80" s="278"/>
      <c r="N80" s="651"/>
      <c r="O80" s="545"/>
      <c r="P80" s="279"/>
      <c r="Q80" s="280">
        <v>23.4</v>
      </c>
      <c r="R80" s="195"/>
      <c r="S80" s="195"/>
      <c r="T80" s="195"/>
      <c r="U80" s="195"/>
      <c r="V80" s="195"/>
      <c r="W80" s="195"/>
      <c r="X80" s="195"/>
      <c r="Y80" s="683"/>
      <c r="Z80" s="733"/>
      <c r="AA80" s="281"/>
      <c r="AB80" s="282"/>
      <c r="AC80" s="282">
        <v>23.4</v>
      </c>
      <c r="AD80" s="282"/>
      <c r="AE80" s="282"/>
      <c r="AF80" s="282"/>
    </row>
    <row r="81" spans="1:32" ht="12">
      <c r="A81" s="684" t="s">
        <v>289</v>
      </c>
      <c r="B81" s="283" t="s">
        <v>292</v>
      </c>
      <c r="C81" s="271" t="s">
        <v>673</v>
      </c>
      <c r="D81" s="272" t="s">
        <v>293</v>
      </c>
      <c r="E81" s="293"/>
      <c r="F81" s="293" t="s">
        <v>1054</v>
      </c>
      <c r="G81" s="293"/>
      <c r="H81" s="427">
        <f t="shared" si="2"/>
        <v>0</v>
      </c>
      <c r="I81" s="427">
        <f t="shared" si="3"/>
        <v>23.4</v>
      </c>
      <c r="J81" s="275"/>
      <c r="K81" s="276"/>
      <c r="L81" s="277"/>
      <c r="M81" s="278"/>
      <c r="N81" s="651"/>
      <c r="O81" s="545"/>
      <c r="P81" s="279"/>
      <c r="Q81" s="280">
        <v>23.4</v>
      </c>
      <c r="R81" s="195"/>
      <c r="S81" s="195"/>
      <c r="T81" s="195"/>
      <c r="U81" s="195"/>
      <c r="V81" s="195"/>
      <c r="W81" s="195"/>
      <c r="X81" s="195"/>
      <c r="Y81" s="683"/>
      <c r="Z81" s="733"/>
      <c r="AA81" s="281"/>
      <c r="AB81" s="282"/>
      <c r="AC81" s="282">
        <v>23.4</v>
      </c>
      <c r="AD81" s="282"/>
      <c r="AE81" s="282"/>
      <c r="AF81" s="282"/>
    </row>
    <row r="82" spans="1:32" ht="12">
      <c r="A82" s="684" t="s">
        <v>294</v>
      </c>
      <c r="B82" s="283" t="s">
        <v>295</v>
      </c>
      <c r="C82" s="271" t="s">
        <v>493</v>
      </c>
      <c r="D82" s="272" t="s">
        <v>296</v>
      </c>
      <c r="E82" s="293"/>
      <c r="F82" s="293" t="s">
        <v>1054</v>
      </c>
      <c r="G82" s="293"/>
      <c r="H82" s="427">
        <f t="shared" si="2"/>
        <v>0</v>
      </c>
      <c r="I82" s="427">
        <f t="shared" si="3"/>
        <v>48</v>
      </c>
      <c r="J82" s="275"/>
      <c r="K82" s="276"/>
      <c r="L82" s="277"/>
      <c r="M82" s="278"/>
      <c r="N82" s="651"/>
      <c r="O82" s="545"/>
      <c r="P82" s="279"/>
      <c r="Q82" s="280">
        <v>48</v>
      </c>
      <c r="R82" s="195"/>
      <c r="S82" s="195"/>
      <c r="T82" s="195"/>
      <c r="U82" s="195"/>
      <c r="V82" s="195"/>
      <c r="W82" s="195"/>
      <c r="X82" s="195"/>
      <c r="Y82" s="683"/>
      <c r="Z82" s="733"/>
      <c r="AA82" s="281"/>
      <c r="AB82" s="282"/>
      <c r="AC82" s="282">
        <v>48</v>
      </c>
      <c r="AD82" s="282"/>
      <c r="AE82" s="282"/>
      <c r="AF82" s="282"/>
    </row>
    <row r="83" spans="1:32" ht="12">
      <c r="A83" s="684" t="s">
        <v>294</v>
      </c>
      <c r="B83" s="283" t="s">
        <v>297</v>
      </c>
      <c r="C83" s="271" t="s">
        <v>732</v>
      </c>
      <c r="D83" s="272" t="s">
        <v>298</v>
      </c>
      <c r="E83" s="293"/>
      <c r="F83" s="293" t="s">
        <v>1054</v>
      </c>
      <c r="G83" s="293"/>
      <c r="H83" s="427">
        <f t="shared" si="2"/>
        <v>0</v>
      </c>
      <c r="I83" s="427">
        <f t="shared" si="3"/>
        <v>24</v>
      </c>
      <c r="J83" s="275"/>
      <c r="K83" s="276"/>
      <c r="L83" s="277"/>
      <c r="M83" s="278"/>
      <c r="N83" s="651"/>
      <c r="O83" s="545"/>
      <c r="P83" s="279"/>
      <c r="Q83" s="280">
        <v>24</v>
      </c>
      <c r="R83" s="195"/>
      <c r="S83" s="195"/>
      <c r="T83" s="195"/>
      <c r="U83" s="195"/>
      <c r="V83" s="195"/>
      <c r="W83" s="195"/>
      <c r="X83" s="195"/>
      <c r="Y83" s="683"/>
      <c r="Z83" s="733"/>
      <c r="AA83" s="281"/>
      <c r="AB83" s="282"/>
      <c r="AC83" s="282">
        <v>24</v>
      </c>
      <c r="AD83" s="282"/>
      <c r="AE83" s="282"/>
      <c r="AF83" s="282"/>
    </row>
    <row r="84" spans="1:32" ht="12">
      <c r="A84" s="684" t="s">
        <v>294</v>
      </c>
      <c r="B84" s="283" t="s">
        <v>299</v>
      </c>
      <c r="C84" s="271" t="s">
        <v>732</v>
      </c>
      <c r="D84" s="272" t="s">
        <v>300</v>
      </c>
      <c r="E84" s="293"/>
      <c r="F84" s="293" t="s">
        <v>1064</v>
      </c>
      <c r="G84" s="293"/>
      <c r="H84" s="427">
        <f t="shared" si="2"/>
        <v>0</v>
      </c>
      <c r="I84" s="427">
        <f t="shared" si="3"/>
        <v>12</v>
      </c>
      <c r="J84" s="275"/>
      <c r="K84" s="276"/>
      <c r="L84" s="277"/>
      <c r="M84" s="278"/>
      <c r="N84" s="651"/>
      <c r="O84" s="545"/>
      <c r="P84" s="279"/>
      <c r="Q84" s="280">
        <v>12</v>
      </c>
      <c r="R84" s="195"/>
      <c r="S84" s="195"/>
      <c r="T84" s="195"/>
      <c r="U84" s="195"/>
      <c r="V84" s="195"/>
      <c r="W84" s="195"/>
      <c r="X84" s="195"/>
      <c r="Y84" s="683"/>
      <c r="Z84" s="733"/>
      <c r="AA84" s="281"/>
      <c r="AB84" s="282"/>
      <c r="AC84" s="282">
        <v>12</v>
      </c>
      <c r="AD84" s="282"/>
      <c r="AE84" s="282"/>
      <c r="AF84" s="282"/>
    </row>
    <row r="85" spans="1:32" ht="12">
      <c r="A85" s="684" t="s">
        <v>294</v>
      </c>
      <c r="B85" s="283" t="s">
        <v>301</v>
      </c>
      <c r="C85" s="271" t="s">
        <v>417</v>
      </c>
      <c r="D85" s="272" t="s">
        <v>302</v>
      </c>
      <c r="E85" s="293"/>
      <c r="F85" s="293" t="s">
        <v>1064</v>
      </c>
      <c r="G85" s="293"/>
      <c r="H85" s="427">
        <f t="shared" si="2"/>
        <v>0</v>
      </c>
      <c r="I85" s="427">
        <f t="shared" si="3"/>
        <v>24.8</v>
      </c>
      <c r="J85" s="275"/>
      <c r="K85" s="276"/>
      <c r="L85" s="277"/>
      <c r="M85" s="278"/>
      <c r="N85" s="651"/>
      <c r="O85" s="545"/>
      <c r="P85" s="279"/>
      <c r="Q85" s="280">
        <v>24.8</v>
      </c>
      <c r="R85" s="195"/>
      <c r="S85" s="195"/>
      <c r="T85" s="195"/>
      <c r="U85" s="195"/>
      <c r="V85" s="195"/>
      <c r="W85" s="195"/>
      <c r="X85" s="195"/>
      <c r="Y85" s="683"/>
      <c r="Z85" s="733"/>
      <c r="AA85" s="281"/>
      <c r="AB85" s="282"/>
      <c r="AC85" s="282">
        <v>24.8</v>
      </c>
      <c r="AD85" s="282"/>
      <c r="AE85" s="282"/>
      <c r="AF85" s="282"/>
    </row>
    <row r="86" spans="1:32" ht="12">
      <c r="A86" s="684" t="s">
        <v>294</v>
      </c>
      <c r="B86" s="283"/>
      <c r="C86" s="271" t="s">
        <v>303</v>
      </c>
      <c r="D86" s="272"/>
      <c r="E86" s="293"/>
      <c r="F86" s="293" t="s">
        <v>1054</v>
      </c>
      <c r="G86" s="293"/>
      <c r="H86" s="427">
        <f t="shared" si="2"/>
        <v>0</v>
      </c>
      <c r="I86" s="427">
        <f t="shared" si="3"/>
        <v>0.2</v>
      </c>
      <c r="J86" s="275"/>
      <c r="K86" s="276"/>
      <c r="L86" s="277"/>
      <c r="M86" s="278"/>
      <c r="N86" s="651"/>
      <c r="O86" s="545"/>
      <c r="P86" s="279"/>
      <c r="Q86" s="280">
        <v>0.2</v>
      </c>
      <c r="R86" s="195"/>
      <c r="S86" s="195"/>
      <c r="T86" s="195"/>
      <c r="U86" s="195"/>
      <c r="V86" s="195"/>
      <c r="W86" s="195"/>
      <c r="X86" s="195"/>
      <c r="Y86" s="683"/>
      <c r="Z86" s="733"/>
      <c r="AA86" s="281"/>
      <c r="AB86" s="282"/>
      <c r="AC86" s="282">
        <v>0.2</v>
      </c>
      <c r="AD86" s="282"/>
      <c r="AE86" s="282"/>
      <c r="AF86" s="282"/>
    </row>
    <row r="87" spans="1:32" ht="12">
      <c r="A87" s="684" t="s">
        <v>304</v>
      </c>
      <c r="B87" s="283" t="s">
        <v>305</v>
      </c>
      <c r="C87" s="271" t="s">
        <v>493</v>
      </c>
      <c r="D87" s="272" t="s">
        <v>863</v>
      </c>
      <c r="E87" s="293"/>
      <c r="F87" s="293" t="s">
        <v>1054</v>
      </c>
      <c r="G87" s="293"/>
      <c r="H87" s="427">
        <f t="shared" si="2"/>
        <v>0</v>
      </c>
      <c r="I87" s="427">
        <f t="shared" si="3"/>
        <v>64</v>
      </c>
      <c r="J87" s="275"/>
      <c r="K87" s="276"/>
      <c r="L87" s="277"/>
      <c r="M87" s="278"/>
      <c r="N87" s="651"/>
      <c r="O87" s="545"/>
      <c r="P87" s="279"/>
      <c r="Q87" s="280">
        <v>64</v>
      </c>
      <c r="R87" s="195"/>
      <c r="S87" s="195"/>
      <c r="T87" s="195"/>
      <c r="U87" s="195"/>
      <c r="V87" s="195"/>
      <c r="W87" s="195"/>
      <c r="X87" s="195"/>
      <c r="Y87" s="683"/>
      <c r="Z87" s="733"/>
      <c r="AA87" s="281"/>
      <c r="AB87" s="282"/>
      <c r="AC87" s="282">
        <v>64</v>
      </c>
      <c r="AD87" s="282"/>
      <c r="AE87" s="282"/>
      <c r="AF87" s="282"/>
    </row>
    <row r="88" spans="1:32" ht="12">
      <c r="A88" s="684" t="s">
        <v>266</v>
      </c>
      <c r="B88" s="283" t="s">
        <v>306</v>
      </c>
      <c r="C88" s="271" t="s">
        <v>732</v>
      </c>
      <c r="D88" s="272" t="s">
        <v>866</v>
      </c>
      <c r="E88" s="293"/>
      <c r="F88" s="293" t="s">
        <v>1054</v>
      </c>
      <c r="G88" s="293"/>
      <c r="H88" s="427">
        <f t="shared" si="2"/>
        <v>0</v>
      </c>
      <c r="I88" s="427">
        <f t="shared" si="3"/>
        <v>12</v>
      </c>
      <c r="J88" s="275"/>
      <c r="K88" s="276"/>
      <c r="L88" s="277"/>
      <c r="M88" s="278"/>
      <c r="N88" s="651"/>
      <c r="O88" s="545"/>
      <c r="P88" s="279"/>
      <c r="Q88" s="280">
        <v>12</v>
      </c>
      <c r="R88" s="195"/>
      <c r="S88" s="195"/>
      <c r="T88" s="195"/>
      <c r="U88" s="195"/>
      <c r="V88" s="195"/>
      <c r="W88" s="195"/>
      <c r="X88" s="195"/>
      <c r="Y88" s="683"/>
      <c r="Z88" s="733"/>
      <c r="AA88" s="281"/>
      <c r="AB88" s="282"/>
      <c r="AC88" s="282">
        <v>12</v>
      </c>
      <c r="AD88" s="282"/>
      <c r="AE88" s="282"/>
      <c r="AF88" s="282"/>
    </row>
    <row r="89" spans="1:32" ht="12">
      <c r="A89" s="684" t="s">
        <v>307</v>
      </c>
      <c r="B89" s="283" t="s">
        <v>290</v>
      </c>
      <c r="C89" s="271" t="s">
        <v>673</v>
      </c>
      <c r="D89" s="272" t="s">
        <v>308</v>
      </c>
      <c r="E89" s="293"/>
      <c r="F89" s="293" t="s">
        <v>1054</v>
      </c>
      <c r="G89" s="293"/>
      <c r="H89" s="427">
        <f aca="true" t="shared" si="4" ref="H89:H100">J89+L89+P89</f>
        <v>0</v>
      </c>
      <c r="I89" s="427">
        <f t="shared" si="3"/>
        <v>95.85</v>
      </c>
      <c r="J89" s="275"/>
      <c r="K89" s="276"/>
      <c r="L89" s="277"/>
      <c r="M89" s="278"/>
      <c r="N89" s="651"/>
      <c r="O89" s="545"/>
      <c r="P89" s="279"/>
      <c r="Q89" s="280">
        <v>95.85</v>
      </c>
      <c r="R89" s="195"/>
      <c r="S89" s="195"/>
      <c r="T89" s="195"/>
      <c r="U89" s="195"/>
      <c r="V89" s="195"/>
      <c r="W89" s="195"/>
      <c r="X89" s="195"/>
      <c r="Y89" s="683"/>
      <c r="Z89" s="733"/>
      <c r="AA89" s="281"/>
      <c r="AB89" s="282"/>
      <c r="AC89" s="282">
        <v>95.85</v>
      </c>
      <c r="AD89" s="282"/>
      <c r="AE89" s="282"/>
      <c r="AF89" s="282"/>
    </row>
    <row r="90" spans="1:32" ht="12">
      <c r="A90" s="684" t="s">
        <v>307</v>
      </c>
      <c r="B90" s="283" t="s">
        <v>309</v>
      </c>
      <c r="C90" s="271" t="s">
        <v>732</v>
      </c>
      <c r="D90" s="272" t="s">
        <v>310</v>
      </c>
      <c r="E90" s="293"/>
      <c r="F90" s="293" t="s">
        <v>1054</v>
      </c>
      <c r="G90" s="293"/>
      <c r="H90" s="427">
        <f t="shared" si="4"/>
        <v>0</v>
      </c>
      <c r="I90" s="427">
        <f aca="true" t="shared" si="5" ref="I90:I100">K90+M90+Q90</f>
        <v>24</v>
      </c>
      <c r="J90" s="275"/>
      <c r="K90" s="276"/>
      <c r="L90" s="277"/>
      <c r="M90" s="278"/>
      <c r="N90" s="651"/>
      <c r="O90" s="545"/>
      <c r="P90" s="279"/>
      <c r="Q90" s="280">
        <v>24</v>
      </c>
      <c r="R90" s="195"/>
      <c r="S90" s="195"/>
      <c r="T90" s="195"/>
      <c r="U90" s="195"/>
      <c r="V90" s="195"/>
      <c r="W90" s="195"/>
      <c r="X90" s="195"/>
      <c r="Y90" s="683"/>
      <c r="Z90" s="733"/>
      <c r="AA90" s="281"/>
      <c r="AB90" s="282"/>
      <c r="AC90" s="282">
        <v>24</v>
      </c>
      <c r="AD90" s="282"/>
      <c r="AE90" s="282"/>
      <c r="AF90" s="282"/>
    </row>
    <row r="91" spans="1:32" ht="12">
      <c r="A91" s="684" t="s">
        <v>307</v>
      </c>
      <c r="B91" s="283" t="s">
        <v>311</v>
      </c>
      <c r="C91" s="271" t="s">
        <v>732</v>
      </c>
      <c r="D91" s="272" t="s">
        <v>312</v>
      </c>
      <c r="E91" s="293"/>
      <c r="F91" s="293" t="s">
        <v>1054</v>
      </c>
      <c r="G91" s="293"/>
      <c r="H91" s="427">
        <f t="shared" si="4"/>
        <v>0</v>
      </c>
      <c r="I91" s="427">
        <f t="shared" si="5"/>
        <v>24</v>
      </c>
      <c r="J91" s="275"/>
      <c r="K91" s="276"/>
      <c r="L91" s="277"/>
      <c r="M91" s="278"/>
      <c r="N91" s="651"/>
      <c r="O91" s="545"/>
      <c r="P91" s="279"/>
      <c r="Q91" s="280">
        <v>24</v>
      </c>
      <c r="R91" s="195"/>
      <c r="S91" s="195"/>
      <c r="T91" s="195"/>
      <c r="U91" s="195"/>
      <c r="V91" s="195"/>
      <c r="W91" s="195"/>
      <c r="X91" s="195"/>
      <c r="Y91" s="683"/>
      <c r="Z91" s="733"/>
      <c r="AA91" s="281"/>
      <c r="AB91" s="282"/>
      <c r="AC91" s="282">
        <v>24</v>
      </c>
      <c r="AD91" s="282"/>
      <c r="AE91" s="282"/>
      <c r="AF91" s="282"/>
    </row>
    <row r="92" spans="1:32" ht="12">
      <c r="A92" s="684" t="s">
        <v>313</v>
      </c>
      <c r="B92" s="283" t="s">
        <v>314</v>
      </c>
      <c r="C92" s="271" t="s">
        <v>732</v>
      </c>
      <c r="D92" s="272" t="s">
        <v>315</v>
      </c>
      <c r="E92" s="293"/>
      <c r="F92" s="293" t="s">
        <v>1054</v>
      </c>
      <c r="G92" s="293"/>
      <c r="H92" s="427">
        <f t="shared" si="4"/>
        <v>0</v>
      </c>
      <c r="I92" s="427">
        <f t="shared" si="5"/>
        <v>9.6</v>
      </c>
      <c r="J92" s="275"/>
      <c r="K92" s="276"/>
      <c r="L92" s="277"/>
      <c r="M92" s="278"/>
      <c r="N92" s="651"/>
      <c r="O92" s="545"/>
      <c r="P92" s="279"/>
      <c r="Q92" s="280">
        <v>9.6</v>
      </c>
      <c r="R92" s="195"/>
      <c r="S92" s="195"/>
      <c r="T92" s="195"/>
      <c r="U92" s="195"/>
      <c r="V92" s="195"/>
      <c r="W92" s="195"/>
      <c r="X92" s="195"/>
      <c r="Y92" s="683"/>
      <c r="Z92" s="733"/>
      <c r="AA92" s="281"/>
      <c r="AB92" s="282"/>
      <c r="AC92" s="282">
        <v>9.6</v>
      </c>
      <c r="AD92" s="282"/>
      <c r="AE92" s="282"/>
      <c r="AF92" s="282"/>
    </row>
    <row r="93" spans="1:32" ht="12">
      <c r="A93" s="684" t="s">
        <v>313</v>
      </c>
      <c r="B93" s="283" t="s">
        <v>316</v>
      </c>
      <c r="C93" s="271" t="s">
        <v>732</v>
      </c>
      <c r="D93" s="272" t="s">
        <v>317</v>
      </c>
      <c r="E93" s="293"/>
      <c r="F93" s="293" t="s">
        <v>1054</v>
      </c>
      <c r="G93" s="293"/>
      <c r="H93" s="427">
        <f t="shared" si="4"/>
        <v>0</v>
      </c>
      <c r="I93" s="427">
        <f t="shared" si="5"/>
        <v>12</v>
      </c>
      <c r="J93" s="275"/>
      <c r="K93" s="276"/>
      <c r="L93" s="277"/>
      <c r="M93" s="278"/>
      <c r="N93" s="651"/>
      <c r="O93" s="545"/>
      <c r="P93" s="279"/>
      <c r="Q93" s="280">
        <v>12</v>
      </c>
      <c r="R93" s="195"/>
      <c r="S93" s="195"/>
      <c r="T93" s="195"/>
      <c r="U93" s="195"/>
      <c r="V93" s="195"/>
      <c r="W93" s="195"/>
      <c r="X93" s="195"/>
      <c r="Y93" s="683"/>
      <c r="Z93" s="733"/>
      <c r="AA93" s="281"/>
      <c r="AB93" s="282"/>
      <c r="AC93" s="282">
        <v>12</v>
      </c>
      <c r="AD93" s="282"/>
      <c r="AE93" s="282"/>
      <c r="AF93" s="282"/>
    </row>
    <row r="94" spans="1:32" ht="12">
      <c r="A94" s="684" t="s">
        <v>313</v>
      </c>
      <c r="B94" s="283" t="s">
        <v>318</v>
      </c>
      <c r="C94" s="271" t="s">
        <v>732</v>
      </c>
      <c r="D94" s="272" t="s">
        <v>319</v>
      </c>
      <c r="E94" s="293"/>
      <c r="F94" s="293" t="s">
        <v>1054</v>
      </c>
      <c r="G94" s="293"/>
      <c r="H94" s="427">
        <f t="shared" si="4"/>
        <v>0</v>
      </c>
      <c r="I94" s="427">
        <f t="shared" si="5"/>
        <v>12</v>
      </c>
      <c r="J94" s="275"/>
      <c r="K94" s="276"/>
      <c r="L94" s="277"/>
      <c r="M94" s="278"/>
      <c r="N94" s="651"/>
      <c r="O94" s="545"/>
      <c r="P94" s="279"/>
      <c r="Q94" s="280">
        <v>12</v>
      </c>
      <c r="R94" s="195"/>
      <c r="S94" s="195"/>
      <c r="T94" s="195"/>
      <c r="U94" s="195"/>
      <c r="V94" s="195"/>
      <c r="W94" s="195"/>
      <c r="X94" s="195"/>
      <c r="Y94" s="683"/>
      <c r="Z94" s="733"/>
      <c r="AA94" s="281"/>
      <c r="AB94" s="282"/>
      <c r="AC94" s="282">
        <v>12</v>
      </c>
      <c r="AD94" s="282"/>
      <c r="AE94" s="282"/>
      <c r="AF94" s="282"/>
    </row>
    <row r="95" spans="1:32" ht="12">
      <c r="A95" s="684" t="s">
        <v>313</v>
      </c>
      <c r="B95" s="283" t="s">
        <v>320</v>
      </c>
      <c r="C95" s="271" t="s">
        <v>493</v>
      </c>
      <c r="D95" s="272" t="s">
        <v>321</v>
      </c>
      <c r="E95" s="293"/>
      <c r="F95" s="293" t="s">
        <v>1054</v>
      </c>
      <c r="G95" s="293"/>
      <c r="H95" s="427">
        <f t="shared" si="4"/>
        <v>0</v>
      </c>
      <c r="I95" s="427">
        <f t="shared" si="5"/>
        <v>30</v>
      </c>
      <c r="J95" s="275"/>
      <c r="K95" s="276"/>
      <c r="L95" s="277"/>
      <c r="M95" s="278"/>
      <c r="N95" s="651"/>
      <c r="O95" s="545"/>
      <c r="P95" s="279"/>
      <c r="Q95" s="280">
        <v>30</v>
      </c>
      <c r="R95" s="195"/>
      <c r="S95" s="195"/>
      <c r="T95" s="195"/>
      <c r="U95" s="195"/>
      <c r="V95" s="195"/>
      <c r="W95" s="195"/>
      <c r="X95" s="195"/>
      <c r="Y95" s="683"/>
      <c r="Z95" s="733"/>
      <c r="AA95" s="281"/>
      <c r="AB95" s="282"/>
      <c r="AC95" s="282">
        <v>30</v>
      </c>
      <c r="AD95" s="282"/>
      <c r="AE95" s="282"/>
      <c r="AF95" s="282"/>
    </row>
    <row r="96" spans="1:32" ht="12">
      <c r="A96" s="684" t="s">
        <v>313</v>
      </c>
      <c r="B96" s="283" t="s">
        <v>322</v>
      </c>
      <c r="C96" s="271" t="s">
        <v>493</v>
      </c>
      <c r="D96" s="272" t="s">
        <v>323</v>
      </c>
      <c r="E96" s="293"/>
      <c r="F96" s="293" t="s">
        <v>1054</v>
      </c>
      <c r="G96" s="293"/>
      <c r="H96" s="427">
        <f t="shared" si="4"/>
        <v>0</v>
      </c>
      <c r="I96" s="427">
        <f t="shared" si="5"/>
        <v>20</v>
      </c>
      <c r="J96" s="275"/>
      <c r="K96" s="276"/>
      <c r="L96" s="277"/>
      <c r="M96" s="278"/>
      <c r="N96" s="651"/>
      <c r="O96" s="545"/>
      <c r="P96" s="279"/>
      <c r="Q96" s="280">
        <v>20</v>
      </c>
      <c r="R96" s="195"/>
      <c r="S96" s="195"/>
      <c r="T96" s="195"/>
      <c r="U96" s="195"/>
      <c r="V96" s="195"/>
      <c r="W96" s="195"/>
      <c r="X96" s="195"/>
      <c r="Y96" s="683"/>
      <c r="Z96" s="733"/>
      <c r="AA96" s="281"/>
      <c r="AB96" s="282"/>
      <c r="AC96" s="282">
        <v>20</v>
      </c>
      <c r="AD96" s="282"/>
      <c r="AE96" s="282"/>
      <c r="AF96" s="282"/>
    </row>
    <row r="97" spans="1:32" ht="12">
      <c r="A97" s="684" t="s">
        <v>313</v>
      </c>
      <c r="B97" s="283" t="s">
        <v>297</v>
      </c>
      <c r="C97" s="271" t="s">
        <v>732</v>
      </c>
      <c r="D97" s="272" t="s">
        <v>869</v>
      </c>
      <c r="E97" s="293"/>
      <c r="F97" s="293" t="s">
        <v>1054</v>
      </c>
      <c r="G97" s="293"/>
      <c r="H97" s="427">
        <f t="shared" si="4"/>
        <v>0</v>
      </c>
      <c r="I97" s="427">
        <f t="shared" si="5"/>
        <v>24</v>
      </c>
      <c r="J97" s="275"/>
      <c r="K97" s="276"/>
      <c r="L97" s="277"/>
      <c r="M97" s="278"/>
      <c r="N97" s="651"/>
      <c r="O97" s="545"/>
      <c r="P97" s="279"/>
      <c r="Q97" s="280">
        <v>24</v>
      </c>
      <c r="R97" s="195"/>
      <c r="S97" s="195"/>
      <c r="T97" s="195"/>
      <c r="U97" s="195"/>
      <c r="V97" s="195"/>
      <c r="W97" s="195"/>
      <c r="X97" s="195"/>
      <c r="Y97" s="683"/>
      <c r="Z97" s="733"/>
      <c r="AA97" s="281"/>
      <c r="AB97" s="282"/>
      <c r="AC97" s="282">
        <v>24</v>
      </c>
      <c r="AD97" s="282"/>
      <c r="AE97" s="282"/>
      <c r="AF97" s="282"/>
    </row>
    <row r="98" spans="1:32" ht="12">
      <c r="A98" s="684" t="s">
        <v>313</v>
      </c>
      <c r="B98" s="283" t="s">
        <v>324</v>
      </c>
      <c r="C98" s="271" t="s">
        <v>732</v>
      </c>
      <c r="D98" s="272" t="s">
        <v>501</v>
      </c>
      <c r="E98" s="293"/>
      <c r="F98" s="293" t="s">
        <v>1054</v>
      </c>
      <c r="G98" s="293"/>
      <c r="H98" s="427">
        <f t="shared" si="4"/>
        <v>0</v>
      </c>
      <c r="I98" s="427">
        <f t="shared" si="5"/>
        <v>24</v>
      </c>
      <c r="J98" s="275"/>
      <c r="K98" s="276"/>
      <c r="L98" s="277"/>
      <c r="M98" s="278"/>
      <c r="N98" s="651"/>
      <c r="O98" s="545"/>
      <c r="P98" s="279"/>
      <c r="Q98" s="280">
        <v>24</v>
      </c>
      <c r="R98" s="195"/>
      <c r="S98" s="195"/>
      <c r="T98" s="195"/>
      <c r="U98" s="195"/>
      <c r="V98" s="195"/>
      <c r="W98" s="195"/>
      <c r="X98" s="195"/>
      <c r="Y98" s="683"/>
      <c r="Z98" s="733"/>
      <c r="AA98" s="281"/>
      <c r="AB98" s="282"/>
      <c r="AC98" s="282">
        <v>24</v>
      </c>
      <c r="AD98" s="282"/>
      <c r="AE98" s="282"/>
      <c r="AF98" s="282"/>
    </row>
    <row r="99" spans="1:32" ht="12">
      <c r="A99" s="684" t="s">
        <v>307</v>
      </c>
      <c r="B99" s="283" t="s">
        <v>325</v>
      </c>
      <c r="C99" s="271" t="s">
        <v>326</v>
      </c>
      <c r="D99" s="272"/>
      <c r="E99" s="293"/>
      <c r="F99" s="293" t="s">
        <v>1054</v>
      </c>
      <c r="G99" s="293"/>
      <c r="H99" s="427">
        <f t="shared" si="4"/>
        <v>4</v>
      </c>
      <c r="I99" s="427">
        <f t="shared" si="5"/>
        <v>0</v>
      </c>
      <c r="J99" s="275"/>
      <c r="K99" s="276"/>
      <c r="L99" s="277"/>
      <c r="M99" s="278"/>
      <c r="N99" s="651"/>
      <c r="O99" s="545"/>
      <c r="P99" s="279">
        <v>4</v>
      </c>
      <c r="Q99" s="280"/>
      <c r="R99" s="195"/>
      <c r="S99" s="195"/>
      <c r="T99" s="195"/>
      <c r="U99" s="195"/>
      <c r="V99" s="195"/>
      <c r="W99" s="195"/>
      <c r="X99" s="195">
        <v>4</v>
      </c>
      <c r="Y99" s="683"/>
      <c r="Z99" s="733"/>
      <c r="AA99" s="281"/>
      <c r="AB99" s="282"/>
      <c r="AC99" s="282"/>
      <c r="AD99" s="282"/>
      <c r="AE99" s="282"/>
      <c r="AF99" s="282"/>
    </row>
    <row r="100" spans="1:32" ht="12">
      <c r="A100" s="684" t="s">
        <v>313</v>
      </c>
      <c r="B100" s="283" t="s">
        <v>253</v>
      </c>
      <c r="C100" s="271" t="s">
        <v>327</v>
      </c>
      <c r="D100" s="272"/>
      <c r="E100" s="293"/>
      <c r="F100" s="293" t="s">
        <v>1054</v>
      </c>
      <c r="G100" s="293"/>
      <c r="H100" s="427">
        <f t="shared" si="4"/>
        <v>0</v>
      </c>
      <c r="I100" s="427">
        <f t="shared" si="5"/>
        <v>360</v>
      </c>
      <c r="J100" s="275"/>
      <c r="K100" s="276"/>
      <c r="L100" s="277"/>
      <c r="M100" s="278"/>
      <c r="N100" s="651"/>
      <c r="O100" s="545"/>
      <c r="P100" s="279"/>
      <c r="Q100" s="280">
        <v>360</v>
      </c>
      <c r="R100" s="195"/>
      <c r="S100" s="195"/>
      <c r="T100" s="195"/>
      <c r="U100" s="195"/>
      <c r="V100" s="195"/>
      <c r="W100" s="195"/>
      <c r="X100" s="195"/>
      <c r="Y100" s="683"/>
      <c r="Z100" s="733"/>
      <c r="AA100" s="281"/>
      <c r="AB100" s="282"/>
      <c r="AC100" s="282"/>
      <c r="AD100" s="282"/>
      <c r="AE100" s="282"/>
      <c r="AF100" s="282">
        <v>360</v>
      </c>
    </row>
    <row r="101" spans="1:32" ht="12.75" thickBot="1">
      <c r="A101" s="684" t="s">
        <v>398</v>
      </c>
      <c r="B101" s="283"/>
      <c r="C101" s="271" t="s">
        <v>328</v>
      </c>
      <c r="D101" s="272"/>
      <c r="E101" s="293"/>
      <c r="F101" s="293"/>
      <c r="G101" s="293"/>
      <c r="H101" s="427">
        <f t="shared" si="2"/>
        <v>130.7</v>
      </c>
      <c r="I101" s="427">
        <f t="shared" si="3"/>
        <v>0</v>
      </c>
      <c r="J101" s="275"/>
      <c r="K101" s="276"/>
      <c r="L101" s="277"/>
      <c r="M101" s="278"/>
      <c r="N101" s="801"/>
      <c r="O101" s="546"/>
      <c r="P101" s="279">
        <v>130.7</v>
      </c>
      <c r="Q101" s="280"/>
      <c r="R101" s="195"/>
      <c r="S101" s="195"/>
      <c r="T101" s="195"/>
      <c r="U101" s="195"/>
      <c r="V101" s="195"/>
      <c r="W101" s="195"/>
      <c r="X101" s="195">
        <v>130.7</v>
      </c>
      <c r="Y101" s="683"/>
      <c r="Z101" s="733"/>
      <c r="AA101" s="281"/>
      <c r="AB101" s="282"/>
      <c r="AC101" s="282"/>
      <c r="AD101" s="282"/>
      <c r="AE101" s="282"/>
      <c r="AF101" s="282"/>
    </row>
    <row r="102" spans="1:32" ht="12.75" thickBot="1">
      <c r="A102" s="686"/>
      <c r="B102" s="435"/>
      <c r="C102" s="435"/>
      <c r="D102" s="436"/>
      <c r="E102" s="437"/>
      <c r="F102" s="437"/>
      <c r="G102" s="437"/>
      <c r="H102" s="438">
        <f aca="true" t="shared" si="6" ref="H102:AF102">SUM(H8:H101)</f>
        <v>7475.089999999999</v>
      </c>
      <c r="I102" s="439">
        <f t="shared" si="6"/>
        <v>6737.4</v>
      </c>
      <c r="J102" s="440">
        <f t="shared" si="6"/>
        <v>3260.39</v>
      </c>
      <c r="K102" s="440">
        <f t="shared" si="6"/>
        <v>4421</v>
      </c>
      <c r="L102" s="440">
        <f t="shared" si="6"/>
        <v>0</v>
      </c>
      <c r="M102" s="440">
        <f t="shared" si="6"/>
        <v>0</v>
      </c>
      <c r="N102" s="440">
        <f t="shared" si="6"/>
        <v>0</v>
      </c>
      <c r="O102" s="440">
        <f t="shared" si="6"/>
        <v>0</v>
      </c>
      <c r="P102" s="440">
        <f t="shared" si="6"/>
        <v>4214.7</v>
      </c>
      <c r="Q102" s="440">
        <f t="shared" si="6"/>
        <v>2316.3999999999996</v>
      </c>
      <c r="R102" s="440">
        <f t="shared" si="6"/>
        <v>235.45999999999998</v>
      </c>
      <c r="S102" s="440">
        <f t="shared" si="6"/>
        <v>15.3</v>
      </c>
      <c r="T102" s="440">
        <f>SUM(T8:T101)</f>
        <v>526.1</v>
      </c>
      <c r="U102" s="440">
        <f t="shared" si="6"/>
        <v>770.95</v>
      </c>
      <c r="V102" s="440">
        <f t="shared" si="6"/>
        <v>281.86</v>
      </c>
      <c r="W102" s="440">
        <f t="shared" si="6"/>
        <v>679.44</v>
      </c>
      <c r="X102" s="440">
        <f t="shared" si="6"/>
        <v>885.98</v>
      </c>
      <c r="Y102" s="440">
        <f t="shared" si="6"/>
        <v>4080</v>
      </c>
      <c r="Z102" s="734">
        <f t="shared" si="6"/>
        <v>4080</v>
      </c>
      <c r="AA102" s="440">
        <f t="shared" si="6"/>
        <v>0</v>
      </c>
      <c r="AB102" s="440">
        <f t="shared" si="6"/>
        <v>285</v>
      </c>
      <c r="AC102" s="440">
        <f t="shared" si="6"/>
        <v>2012.3999999999996</v>
      </c>
      <c r="AD102" s="440">
        <f t="shared" si="6"/>
        <v>0</v>
      </c>
      <c r="AE102" s="440">
        <f t="shared" si="6"/>
        <v>0</v>
      </c>
      <c r="AF102" s="440">
        <f t="shared" si="6"/>
        <v>360</v>
      </c>
    </row>
    <row r="103" spans="2:32" ht="12">
      <c r="B103" s="441"/>
      <c r="C103" s="441"/>
      <c r="D103" s="442"/>
      <c r="E103" s="422"/>
      <c r="F103" s="422"/>
      <c r="G103" s="422"/>
      <c r="H103" s="443"/>
      <c r="I103" s="443"/>
      <c r="J103" s="444"/>
      <c r="K103" s="444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735"/>
      <c r="AA103" s="444"/>
      <c r="AB103" s="444"/>
      <c r="AC103" s="444"/>
      <c r="AD103" s="444"/>
      <c r="AE103" s="444"/>
      <c r="AF103" s="444"/>
    </row>
    <row r="104" spans="2:32" s="445" customFormat="1" ht="19.5" customHeight="1" thickBot="1">
      <c r="B104" s="446"/>
      <c r="C104" s="446"/>
      <c r="D104" s="407"/>
      <c r="E104" s="397"/>
      <c r="F104" s="397"/>
      <c r="G104" s="447" t="s">
        <v>1066</v>
      </c>
      <c r="H104" s="448">
        <f>(J102+L102+N102+P102)-Y102</f>
        <v>3395.09</v>
      </c>
      <c r="J104" s="449"/>
      <c r="K104" s="400"/>
      <c r="N104" s="449"/>
      <c r="O104" s="449" t="s">
        <v>1067</v>
      </c>
      <c r="P104" s="450">
        <f>(K102+M102+O102+Q102)-Z102</f>
        <v>2657.3999999999996</v>
      </c>
      <c r="Q104" s="451"/>
      <c r="T104" s="449" t="s">
        <v>1068</v>
      </c>
      <c r="U104" s="549">
        <f>(R102+S102+T102+U102+V102+W102+X102)</f>
        <v>3395.09</v>
      </c>
      <c r="V104" s="453"/>
      <c r="W104" s="453"/>
      <c r="X104" s="453"/>
      <c r="Y104" s="454"/>
      <c r="Z104" s="736"/>
      <c r="AA104" s="455"/>
      <c r="AB104" s="447" t="s">
        <v>885</v>
      </c>
      <c r="AC104" s="550">
        <f>(AA102+AB102+AC102+AD102+AE102+AF102)</f>
        <v>2657.3999999999996</v>
      </c>
      <c r="AD104" s="453"/>
      <c r="AE104" s="453"/>
      <c r="AF104" s="453"/>
    </row>
    <row r="105" spans="2:32" s="457" customFormat="1" ht="19.5" customHeight="1" thickBot="1">
      <c r="B105" s="458"/>
      <c r="C105" s="459" t="s">
        <v>329</v>
      </c>
      <c r="D105" s="460"/>
      <c r="E105" s="397"/>
      <c r="F105" s="397"/>
      <c r="G105" s="461"/>
      <c r="H105" s="462">
        <f aca="true" t="shared" si="7" ref="H105:AF105">SUM(H3+H102)</f>
        <v>52911.03999999999</v>
      </c>
      <c r="I105" s="463">
        <f t="shared" si="7"/>
        <v>63459.02000000001</v>
      </c>
      <c r="J105" s="464">
        <f t="shared" si="7"/>
        <v>44776.34</v>
      </c>
      <c r="K105" s="464">
        <f t="shared" si="7"/>
        <v>56625.65</v>
      </c>
      <c r="L105" s="464">
        <f t="shared" si="7"/>
        <v>0</v>
      </c>
      <c r="M105" s="464">
        <f t="shared" si="7"/>
        <v>63232.73</v>
      </c>
      <c r="N105" s="464">
        <f t="shared" si="7"/>
        <v>0</v>
      </c>
      <c r="O105" s="464">
        <f t="shared" si="7"/>
        <v>77741.76</v>
      </c>
      <c r="P105" s="464">
        <f t="shared" si="7"/>
        <v>8134.7</v>
      </c>
      <c r="Q105" s="464">
        <f t="shared" si="7"/>
        <v>8791.26</v>
      </c>
      <c r="R105" s="464">
        <f t="shared" si="7"/>
        <v>2821.8700000000003</v>
      </c>
      <c r="S105" s="464">
        <f t="shared" si="7"/>
        <v>153</v>
      </c>
      <c r="T105" s="464">
        <f t="shared" si="7"/>
        <v>4217.93</v>
      </c>
      <c r="U105" s="464">
        <f t="shared" si="7"/>
        <v>7838.55</v>
      </c>
      <c r="V105" s="464">
        <f t="shared" si="7"/>
        <v>7592.81</v>
      </c>
      <c r="W105" s="464">
        <f t="shared" si="7"/>
        <v>6777.530000000001</v>
      </c>
      <c r="X105" s="464">
        <f t="shared" si="7"/>
        <v>3509.35</v>
      </c>
      <c r="Y105" s="464">
        <f t="shared" si="7"/>
        <v>20000</v>
      </c>
      <c r="Z105" s="737">
        <f t="shared" si="7"/>
        <v>20000</v>
      </c>
      <c r="AA105" s="464">
        <f t="shared" si="7"/>
        <v>0</v>
      </c>
      <c r="AB105" s="464">
        <f t="shared" si="7"/>
        <v>34067.13</v>
      </c>
      <c r="AC105" s="464">
        <f t="shared" si="7"/>
        <v>4982.5</v>
      </c>
      <c r="AD105" s="464">
        <f t="shared" si="7"/>
        <v>100</v>
      </c>
      <c r="AE105" s="464">
        <f t="shared" si="7"/>
        <v>1237.54</v>
      </c>
      <c r="AF105" s="464">
        <f t="shared" si="7"/>
        <v>3071.85</v>
      </c>
    </row>
    <row r="106" spans="2:32" s="457" customFormat="1" ht="12.75" thickBot="1">
      <c r="B106" s="458"/>
      <c r="C106" s="458"/>
      <c r="D106" s="460"/>
      <c r="E106" s="397"/>
      <c r="F106" s="397"/>
      <c r="G106" s="461"/>
      <c r="H106" s="465"/>
      <c r="I106" s="466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738"/>
      <c r="AA106" s="467"/>
      <c r="AB106" s="467"/>
      <c r="AC106" s="467"/>
      <c r="AD106" s="467"/>
      <c r="AE106" s="467"/>
      <c r="AF106" s="467"/>
    </row>
    <row r="107" spans="2:32" s="445" customFormat="1" ht="19.5" customHeight="1" thickBot="1">
      <c r="B107" s="458"/>
      <c r="C107" s="468"/>
      <c r="D107" s="407"/>
      <c r="E107" s="397"/>
      <c r="F107" s="397"/>
      <c r="G107" s="447" t="s">
        <v>887</v>
      </c>
      <c r="H107" s="469">
        <f>(J105+L105+P105)-Y105</f>
        <v>32911.03999999999</v>
      </c>
      <c r="J107" s="449"/>
      <c r="K107" s="400"/>
      <c r="N107" s="449"/>
      <c r="O107" s="449" t="s">
        <v>938</v>
      </c>
      <c r="P107" s="450">
        <f>(K105+M105+O105+Q105)-Y105</f>
        <v>186391.40000000002</v>
      </c>
      <c r="Q107" s="451"/>
      <c r="R107" s="449" t="s">
        <v>887</v>
      </c>
      <c r="S107" s="452">
        <f>(R105+S105+T105+U105+V105+W105+X105)</f>
        <v>32911.04</v>
      </c>
      <c r="T107" s="453"/>
      <c r="U107" s="453"/>
      <c r="V107" s="453"/>
      <c r="W107" s="453"/>
      <c r="X107" s="453"/>
      <c r="Y107" s="470"/>
      <c r="Z107" s="736"/>
      <c r="AA107" s="455"/>
      <c r="AB107" s="447" t="s">
        <v>1069</v>
      </c>
      <c r="AC107" s="456">
        <f>(AA105+AB105+AC105+AD105+AE105+AF105)</f>
        <v>43459.02</v>
      </c>
      <c r="AD107" s="453"/>
      <c r="AE107" s="453"/>
      <c r="AF107" s="453"/>
    </row>
    <row r="108" spans="2:28" ht="19.5" customHeight="1" thickBot="1">
      <c r="B108" s="458"/>
      <c r="C108" s="471" t="s">
        <v>352</v>
      </c>
      <c r="D108" s="472" t="s">
        <v>1071</v>
      </c>
      <c r="E108" s="473"/>
      <c r="F108" s="473"/>
      <c r="G108" s="473"/>
      <c r="H108" s="474">
        <f>JuiL15!H94</f>
        <v>10688.699999999997</v>
      </c>
      <c r="I108" s="475"/>
      <c r="J108" s="476" t="s">
        <v>1072</v>
      </c>
      <c r="K108" s="474">
        <f>JuiL15!K94</f>
        <v>63232.73</v>
      </c>
      <c r="L108" s="477"/>
      <c r="M108" s="343" t="s">
        <v>1073</v>
      </c>
      <c r="N108" s="601">
        <f>JuiL15!N94</f>
        <v>77741.76</v>
      </c>
      <c r="O108" s="477"/>
      <c r="P108" s="478" t="s">
        <v>981</v>
      </c>
      <c r="Q108" s="474">
        <f>JuiL15!Q94</f>
        <v>2554.8600000000006</v>
      </c>
      <c r="AB108" s="479"/>
    </row>
    <row r="109" spans="2:28" s="480" customFormat="1" ht="12.75" thickBot="1">
      <c r="B109" s="425"/>
      <c r="C109" s="481" t="s">
        <v>894</v>
      </c>
      <c r="D109" s="482"/>
      <c r="E109" s="397"/>
      <c r="F109" s="397"/>
      <c r="G109" s="397"/>
      <c r="H109" s="483"/>
      <c r="I109" s="484"/>
      <c r="J109" s="483"/>
      <c r="K109" s="483"/>
      <c r="L109" s="484"/>
      <c r="M109" s="484"/>
      <c r="N109" s="484"/>
      <c r="O109" s="484"/>
      <c r="P109" s="483"/>
      <c r="Q109" s="400"/>
      <c r="R109" s="485"/>
      <c r="S109" s="476" t="s">
        <v>1074</v>
      </c>
      <c r="T109" s="486"/>
      <c r="U109" s="487"/>
      <c r="V109" s="487"/>
      <c r="W109" s="487"/>
      <c r="X109" s="476" t="s">
        <v>1075</v>
      </c>
      <c r="Y109" s="488"/>
      <c r="Z109" s="739"/>
      <c r="AB109" s="405"/>
    </row>
    <row r="110" spans="2:28" ht="19.5" customHeight="1" thickBot="1" thickTop="1">
      <c r="B110" s="489"/>
      <c r="C110" s="490" t="s">
        <v>330</v>
      </c>
      <c r="D110" s="491" t="s">
        <v>1071</v>
      </c>
      <c r="E110" s="492"/>
      <c r="F110" s="492"/>
      <c r="G110" s="492"/>
      <c r="H110" s="493">
        <f>SUM(H108+K102)-(J102)</f>
        <v>11849.309999999998</v>
      </c>
      <c r="I110" s="494"/>
      <c r="J110" s="495" t="s">
        <v>1072</v>
      </c>
      <c r="K110" s="493">
        <f>K108+M102-L102</f>
        <v>63232.73</v>
      </c>
      <c r="M110" s="343" t="s">
        <v>1073</v>
      </c>
      <c r="N110" s="691">
        <f>N108+O102-N102</f>
        <v>77741.76</v>
      </c>
      <c r="P110" s="495" t="s">
        <v>981</v>
      </c>
      <c r="Q110" s="493">
        <f>SUM(Q108+Q102)-(P102)</f>
        <v>656.5600000000004</v>
      </c>
      <c r="R110" s="496"/>
      <c r="S110" s="495" t="s">
        <v>1077</v>
      </c>
      <c r="T110" s="497"/>
      <c r="X110" s="495" t="s">
        <v>898</v>
      </c>
      <c r="Y110" s="498"/>
      <c r="Z110" s="740"/>
      <c r="AB110" s="499"/>
    </row>
    <row r="111" spans="2:28" ht="19.5" customHeight="1" thickTop="1">
      <c r="B111" s="489"/>
      <c r="C111" s="489"/>
      <c r="D111" s="538"/>
      <c r="E111" s="422"/>
      <c r="F111" s="422"/>
      <c r="G111" s="422"/>
      <c r="H111" s="541"/>
      <c r="I111" s="494"/>
      <c r="J111" s="496"/>
      <c r="K111" s="541"/>
      <c r="P111" s="496"/>
      <c r="Q111" s="539"/>
      <c r="R111" s="496"/>
      <c r="S111" s="496"/>
      <c r="T111" s="540"/>
      <c r="X111" s="496"/>
      <c r="Y111" s="498"/>
      <c r="Z111" s="741"/>
      <c r="AB111" s="499"/>
    </row>
    <row r="112" spans="2:28" s="457" customFormat="1" ht="12">
      <c r="B112" s="446" t="s">
        <v>899</v>
      </c>
      <c r="C112" s="500"/>
      <c r="D112" s="501" t="s">
        <v>900</v>
      </c>
      <c r="E112" s="502"/>
      <c r="F112" s="502"/>
      <c r="G112" s="502"/>
      <c r="H112" s="503"/>
      <c r="I112" s="501" t="s">
        <v>901</v>
      </c>
      <c r="J112" s="503"/>
      <c r="K112" s="503"/>
      <c r="L112" s="501" t="s">
        <v>902</v>
      </c>
      <c r="M112" s="501"/>
      <c r="N112" s="501"/>
      <c r="O112" s="501"/>
      <c r="P112" s="503"/>
      <c r="Q112" s="503"/>
      <c r="R112" s="501" t="s">
        <v>903</v>
      </c>
      <c r="S112" s="400"/>
      <c r="T112" s="501" t="s">
        <v>900</v>
      </c>
      <c r="U112" s="400"/>
      <c r="V112" s="400"/>
      <c r="W112" s="400"/>
      <c r="X112" s="501" t="s">
        <v>901</v>
      </c>
      <c r="Y112" s="504"/>
      <c r="Z112" s="742"/>
      <c r="AB112" s="505"/>
    </row>
    <row r="113" spans="2:28" s="457" customFormat="1" ht="12">
      <c r="B113" s="446"/>
      <c r="C113" s="500"/>
      <c r="D113" s="501"/>
      <c r="E113" s="502"/>
      <c r="F113" s="502"/>
      <c r="G113" s="502"/>
      <c r="H113" s="503"/>
      <c r="I113" s="501"/>
      <c r="J113" s="503"/>
      <c r="K113" s="503"/>
      <c r="L113" s="501"/>
      <c r="M113" s="501"/>
      <c r="N113" s="501"/>
      <c r="O113" s="501"/>
      <c r="P113" s="503"/>
      <c r="Q113" s="503"/>
      <c r="R113" s="501"/>
      <c r="S113" s="400"/>
      <c r="T113" s="501"/>
      <c r="U113" s="400"/>
      <c r="V113" s="400"/>
      <c r="W113" s="400"/>
      <c r="X113" s="501"/>
      <c r="Y113" s="504"/>
      <c r="Z113" s="742"/>
      <c r="AB113" s="505"/>
    </row>
    <row r="114" spans="2:28" s="506" customFormat="1" ht="12">
      <c r="B114" s="533" t="s">
        <v>904</v>
      </c>
      <c r="C114" s="507"/>
      <c r="D114" s="506" t="s">
        <v>578</v>
      </c>
      <c r="E114" s="508"/>
      <c r="F114" s="508"/>
      <c r="H114" s="509"/>
      <c r="I114" s="510"/>
      <c r="J114" s="511"/>
      <c r="K114" s="511"/>
      <c r="L114" s="510"/>
      <c r="M114" s="510"/>
      <c r="N114" s="510"/>
      <c r="O114" s="510"/>
      <c r="P114" s="511"/>
      <c r="Q114" s="511"/>
      <c r="R114" s="510" t="s">
        <v>904</v>
      </c>
      <c r="S114" s="400"/>
      <c r="T114" s="511" t="s">
        <v>578</v>
      </c>
      <c r="U114" s="400"/>
      <c r="V114" s="400"/>
      <c r="W114" s="400"/>
      <c r="X114" s="510"/>
      <c r="Y114" s="512"/>
      <c r="Z114" s="743"/>
      <c r="AB114" s="513"/>
    </row>
    <row r="115" spans="2:28" s="506" customFormat="1" ht="45" customHeight="1">
      <c r="B115" s="533"/>
      <c r="C115" s="507"/>
      <c r="E115" s="508"/>
      <c r="F115" s="508"/>
      <c r="H115" s="509"/>
      <c r="I115" s="510"/>
      <c r="J115" s="511"/>
      <c r="K115" s="511"/>
      <c r="L115" s="510"/>
      <c r="M115" s="510"/>
      <c r="N115" s="510"/>
      <c r="O115" s="510"/>
      <c r="P115" s="511"/>
      <c r="Q115" s="511"/>
      <c r="R115" s="510"/>
      <c r="S115" s="400"/>
      <c r="T115" s="511"/>
      <c r="U115" s="400"/>
      <c r="V115" s="400"/>
      <c r="W115" s="400"/>
      <c r="X115" s="510"/>
      <c r="Y115" s="512"/>
      <c r="Z115" s="743"/>
      <c r="AB115" s="513"/>
    </row>
    <row r="116" spans="3:28" ht="19.5" customHeight="1">
      <c r="C116" s="514" t="s">
        <v>906</v>
      </c>
      <c r="D116" s="515"/>
      <c r="E116" s="516"/>
      <c r="F116" s="516"/>
      <c r="G116" s="517"/>
      <c r="H116" s="518">
        <f>H110+K110+N110+Q110</f>
        <v>153480.36</v>
      </c>
      <c r="AB116" s="519"/>
    </row>
    <row r="117" ht="12">
      <c r="J117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0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X55"/>
  <sheetViews>
    <sheetView zoomScale="125" zoomScaleNormal="125" zoomScalePageLayoutView="0" workbookViewId="0" topLeftCell="D1">
      <pane ySplit="7" topLeftCell="A19" activePane="bottomLeft" state="frozen"/>
      <selection pane="topLeft" activeCell="D1" sqref="D1"/>
      <selection pane="bottomLeft" activeCell="AF11" sqref="AF11"/>
    </sheetView>
  </sheetViews>
  <sheetFormatPr defaultColWidth="11.7109375" defaultRowHeight="12.75"/>
  <cols>
    <col min="1" max="1" width="7.421875" style="407" customWidth="1"/>
    <col min="2" max="2" width="18.7109375" style="398" customWidth="1"/>
    <col min="3" max="3" width="4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7" width="12.7109375" style="400" customWidth="1"/>
    <col min="18" max="18" width="10.7109375" style="400" customWidth="1"/>
    <col min="19" max="19" width="11.421875" style="400" customWidth="1"/>
    <col min="20" max="24" width="10.7109375" style="400" customWidth="1"/>
    <col min="25" max="25" width="10.7109375" style="409" customWidth="1"/>
    <col min="26" max="26" width="10.7109375" style="400" customWidth="1"/>
    <col min="27" max="27" width="10.7109375" style="407" customWidth="1"/>
    <col min="28" max="28" width="11.8515625" style="522" customWidth="1"/>
    <col min="29" max="32" width="10.7109375" style="407" customWidth="1"/>
    <col min="33" max="16384" width="11.7109375" style="407" customWidth="1"/>
  </cols>
  <sheetData>
    <row r="1" spans="2:38" s="397" customFormat="1" ht="16.5" customHeight="1">
      <c r="B1" s="398"/>
      <c r="C1" s="55" t="s">
        <v>942</v>
      </c>
      <c r="D1" s="399"/>
      <c r="H1" s="400" t="s">
        <v>1016</v>
      </c>
      <c r="I1" s="401"/>
      <c r="J1" s="402" t="s">
        <v>331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/>
      <c r="AB1" s="405"/>
      <c r="AK1" s="406" t="s">
        <v>969</v>
      </c>
      <c r="AL1" s="406" t="s">
        <v>970</v>
      </c>
    </row>
    <row r="2" spans="2:38" ht="12" customHeight="1" thickBot="1">
      <c r="B2" s="407"/>
      <c r="C2" s="408"/>
      <c r="D2" s="407"/>
      <c r="H2" s="400"/>
      <c r="I2" s="400"/>
      <c r="AB2" s="405"/>
      <c r="AK2" s="410" t="s">
        <v>971</v>
      </c>
      <c r="AL2" s="411" t="s">
        <v>972</v>
      </c>
    </row>
    <row r="3" spans="3:38" s="412" customFormat="1" ht="18.75" customHeight="1" thickBot="1">
      <c r="C3" s="413"/>
      <c r="D3" s="414"/>
      <c r="E3" s="832" t="s">
        <v>1018</v>
      </c>
      <c r="F3" s="833"/>
      <c r="G3" s="834"/>
      <c r="H3" s="415">
        <f>Août15!H105</f>
        <v>52911.03999999999</v>
      </c>
      <c r="I3" s="415">
        <f>Août15!I105</f>
        <v>63459.02000000001</v>
      </c>
      <c r="J3" s="415">
        <f>Août15!J105</f>
        <v>44776.34</v>
      </c>
      <c r="K3" s="415">
        <f>Août15!K105</f>
        <v>56625.65</v>
      </c>
      <c r="L3" s="415">
        <f>Août15!L105</f>
        <v>0</v>
      </c>
      <c r="M3" s="415">
        <f>Août15!M105</f>
        <v>63232.73</v>
      </c>
      <c r="N3" s="415">
        <f>Août15!N105</f>
        <v>0</v>
      </c>
      <c r="O3" s="415">
        <f>Août15!O105</f>
        <v>77741.76</v>
      </c>
      <c r="P3" s="415">
        <f>Août15!P105</f>
        <v>8134.7</v>
      </c>
      <c r="Q3" s="415">
        <f>Août15!Q105</f>
        <v>8791.26</v>
      </c>
      <c r="R3" s="415">
        <f>Août15!R105</f>
        <v>2821.8700000000003</v>
      </c>
      <c r="S3" s="415">
        <f>Août15!S105</f>
        <v>153</v>
      </c>
      <c r="T3" s="415">
        <f>Août15!T105</f>
        <v>4217.93</v>
      </c>
      <c r="U3" s="415">
        <f>Août15!U105</f>
        <v>7838.55</v>
      </c>
      <c r="V3" s="415">
        <f>Août15!V105</f>
        <v>7592.81</v>
      </c>
      <c r="W3" s="415">
        <f>Août15!W105</f>
        <v>6777.530000000001</v>
      </c>
      <c r="X3" s="415">
        <f>Août15!X105</f>
        <v>3509.35</v>
      </c>
      <c r="Y3" s="415">
        <f>Août15!Y105</f>
        <v>20000</v>
      </c>
      <c r="Z3" s="415">
        <f>Août15!Z105</f>
        <v>20000</v>
      </c>
      <c r="AA3" s="415">
        <f>Août15!AA105</f>
        <v>0</v>
      </c>
      <c r="AB3" s="415">
        <f>Août15!AB105</f>
        <v>34067.13</v>
      </c>
      <c r="AC3" s="415">
        <f>Août15!AC105</f>
        <v>4982.5</v>
      </c>
      <c r="AD3" s="415">
        <f>Août15!AD105</f>
        <v>100</v>
      </c>
      <c r="AE3" s="415">
        <f>Août15!AE105</f>
        <v>1237.54</v>
      </c>
      <c r="AF3" s="415">
        <f>Août15!AF105</f>
        <v>3071.85</v>
      </c>
      <c r="AK3" s="410" t="s">
        <v>973</v>
      </c>
      <c r="AL3" s="410" t="s">
        <v>974</v>
      </c>
    </row>
    <row r="4" spans="2:38" s="412" customFormat="1" ht="14.25" customHeight="1" thickBot="1"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63">
        <v>58</v>
      </c>
      <c r="Z4" s="864"/>
      <c r="AA4" s="857" t="s">
        <v>1021</v>
      </c>
      <c r="AB4" s="838"/>
      <c r="AC4" s="838"/>
      <c r="AD4" s="838"/>
      <c r="AE4" s="838"/>
      <c r="AF4" s="839"/>
      <c r="AK4" s="410" t="s">
        <v>979</v>
      </c>
      <c r="AL4" s="410" t="s">
        <v>980</v>
      </c>
    </row>
    <row r="5" spans="2:38" s="419" customFormat="1" ht="12.75" customHeight="1"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K5" s="410" t="s">
        <v>981</v>
      </c>
      <c r="AL5" s="410" t="s">
        <v>982</v>
      </c>
    </row>
    <row r="6" spans="2:38" ht="13.5" customHeight="1" thickBot="1">
      <c r="B6" s="425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K6" s="410" t="s">
        <v>987</v>
      </c>
      <c r="AL6" s="410" t="s">
        <v>988</v>
      </c>
    </row>
    <row r="7" spans="1:232" s="62" customFormat="1" ht="22.5" customHeight="1">
      <c r="A7" s="183" t="s">
        <v>1028</v>
      </c>
      <c r="B7" s="56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600" t="s">
        <v>1034</v>
      </c>
      <c r="I7" s="579" t="s">
        <v>1035</v>
      </c>
      <c r="J7" s="600" t="s">
        <v>1036</v>
      </c>
      <c r="K7" s="579" t="s">
        <v>1037</v>
      </c>
      <c r="L7" s="600" t="s">
        <v>1036</v>
      </c>
      <c r="M7" s="579" t="s">
        <v>1037</v>
      </c>
      <c r="N7" s="600" t="s">
        <v>1036</v>
      </c>
      <c r="O7" s="579" t="s">
        <v>1037</v>
      </c>
      <c r="P7" s="600" t="s">
        <v>1036</v>
      </c>
      <c r="Q7" s="579" t="s">
        <v>1037</v>
      </c>
      <c r="R7" s="65" t="s">
        <v>1038</v>
      </c>
      <c r="S7" s="58" t="s">
        <v>1039</v>
      </c>
      <c r="T7" s="61" t="s">
        <v>1040</v>
      </c>
      <c r="U7" s="65" t="s">
        <v>1041</v>
      </c>
      <c r="V7" s="58" t="s">
        <v>1042</v>
      </c>
      <c r="W7" s="58" t="s">
        <v>913</v>
      </c>
      <c r="X7" s="58" t="s">
        <v>1044</v>
      </c>
      <c r="Y7" s="63" t="s">
        <v>1026</v>
      </c>
      <c r="Z7" s="64" t="s">
        <v>1026</v>
      </c>
      <c r="AA7" s="65" t="s">
        <v>914</v>
      </c>
      <c r="AB7" s="58" t="s">
        <v>915</v>
      </c>
      <c r="AC7" s="58" t="s">
        <v>1047</v>
      </c>
      <c r="AD7" s="58" t="s">
        <v>916</v>
      </c>
      <c r="AE7" s="58" t="s">
        <v>946</v>
      </c>
      <c r="AF7" s="58" t="s">
        <v>918</v>
      </c>
      <c r="AG7" s="66"/>
      <c r="AH7" s="66"/>
      <c r="AK7" s="410" t="s">
        <v>989</v>
      </c>
      <c r="AL7" s="410" t="s">
        <v>990</v>
      </c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8" ht="18.75" customHeight="1">
      <c r="A8" s="270">
        <v>42248</v>
      </c>
      <c r="B8" s="283" t="s">
        <v>332</v>
      </c>
      <c r="C8" s="286" t="s">
        <v>752</v>
      </c>
      <c r="D8" s="272" t="s">
        <v>333</v>
      </c>
      <c r="E8" s="293"/>
      <c r="F8" s="293" t="s">
        <v>1054</v>
      </c>
      <c r="G8" s="273"/>
      <c r="H8" s="427">
        <f>J8+L8+N8+P8</f>
        <v>0</v>
      </c>
      <c r="I8" s="685">
        <f>K8+M8+O8+Q8</f>
        <v>10</v>
      </c>
      <c r="J8" s="288"/>
      <c r="K8" s="276"/>
      <c r="L8" s="277"/>
      <c r="M8" s="278"/>
      <c r="N8" s="391"/>
      <c r="O8" s="545"/>
      <c r="P8" s="279"/>
      <c r="Q8" s="280">
        <v>10</v>
      </c>
      <c r="R8" s="195"/>
      <c r="S8" s="195"/>
      <c r="T8" s="195"/>
      <c r="U8" s="195"/>
      <c r="V8" s="195"/>
      <c r="W8" s="195"/>
      <c r="X8" s="195"/>
      <c r="Y8" s="428"/>
      <c r="Z8" s="282"/>
      <c r="AA8" s="281"/>
      <c r="AB8" s="282"/>
      <c r="AC8" s="282">
        <v>10</v>
      </c>
      <c r="AD8" s="282"/>
      <c r="AE8" s="282"/>
      <c r="AF8" s="282"/>
      <c r="AK8" s="410" t="s">
        <v>991</v>
      </c>
      <c r="AL8" s="410" t="s">
        <v>992</v>
      </c>
    </row>
    <row r="9" spans="1:38" ht="18.75" customHeight="1">
      <c r="A9" s="607">
        <v>42248</v>
      </c>
      <c r="B9" s="271" t="s">
        <v>334</v>
      </c>
      <c r="C9" s="271" t="s">
        <v>732</v>
      </c>
      <c r="D9" s="580" t="s">
        <v>335</v>
      </c>
      <c r="E9" s="273"/>
      <c r="F9" s="273" t="s">
        <v>1054</v>
      </c>
      <c r="G9" s="273"/>
      <c r="H9" s="427">
        <f aca="true" t="shared" si="0" ref="H9:H39">J9+L9+N9+P9</f>
        <v>0</v>
      </c>
      <c r="I9" s="685">
        <f aca="true" t="shared" si="1" ref="I9:I39">K9+M9+O9+Q9</f>
        <v>10.8</v>
      </c>
      <c r="J9" s="275"/>
      <c r="K9" s="276"/>
      <c r="L9" s="277"/>
      <c r="M9" s="278"/>
      <c r="N9" s="391"/>
      <c r="O9" s="545"/>
      <c r="P9" s="279"/>
      <c r="Q9" s="280">
        <v>10.8</v>
      </c>
      <c r="R9" s="195"/>
      <c r="S9" s="195"/>
      <c r="T9" s="195"/>
      <c r="U9" s="195"/>
      <c r="V9" s="195"/>
      <c r="W9" s="195"/>
      <c r="X9" s="195"/>
      <c r="Y9" s="428"/>
      <c r="Z9" s="282"/>
      <c r="AA9" s="281"/>
      <c r="AB9" s="282"/>
      <c r="AC9" s="282">
        <v>10.8</v>
      </c>
      <c r="AD9" s="282"/>
      <c r="AE9" s="282"/>
      <c r="AF9" s="282"/>
      <c r="AK9" s="410" t="s">
        <v>993</v>
      </c>
      <c r="AL9" s="430" t="s">
        <v>994</v>
      </c>
    </row>
    <row r="10" spans="1:38" ht="18.75" customHeight="1">
      <c r="A10" s="270">
        <v>42251</v>
      </c>
      <c r="B10" s="283" t="s">
        <v>336</v>
      </c>
      <c r="C10" s="286" t="s">
        <v>493</v>
      </c>
      <c r="D10" s="287" t="s">
        <v>870</v>
      </c>
      <c r="E10" s="273"/>
      <c r="F10" s="273" t="s">
        <v>1054</v>
      </c>
      <c r="G10" s="273"/>
      <c r="H10" s="427">
        <f t="shared" si="0"/>
        <v>0</v>
      </c>
      <c r="I10" s="685">
        <f t="shared" si="1"/>
        <v>28</v>
      </c>
      <c r="J10" s="288"/>
      <c r="K10" s="276"/>
      <c r="L10" s="277"/>
      <c r="M10" s="278"/>
      <c r="N10" s="391"/>
      <c r="O10" s="545"/>
      <c r="P10" s="279"/>
      <c r="Q10" s="280">
        <v>28</v>
      </c>
      <c r="R10" s="195"/>
      <c r="S10" s="195"/>
      <c r="T10" s="195"/>
      <c r="U10" s="195"/>
      <c r="V10" s="195"/>
      <c r="W10" s="195"/>
      <c r="X10" s="195"/>
      <c r="Y10" s="428"/>
      <c r="Z10" s="282"/>
      <c r="AA10" s="281"/>
      <c r="AB10" s="282"/>
      <c r="AC10" s="282">
        <v>28</v>
      </c>
      <c r="AD10" s="282"/>
      <c r="AE10" s="282"/>
      <c r="AF10" s="282"/>
      <c r="AK10" s="410" t="s">
        <v>995</v>
      </c>
      <c r="AL10" s="410" t="s">
        <v>996</v>
      </c>
    </row>
    <row r="11" spans="1:38" s="425" customFormat="1" ht="18.75" customHeight="1">
      <c r="A11" s="607">
        <v>42253</v>
      </c>
      <c r="B11" s="283" t="s">
        <v>337</v>
      </c>
      <c r="C11" s="286" t="s">
        <v>338</v>
      </c>
      <c r="D11" s="287"/>
      <c r="E11" s="293"/>
      <c r="F11" s="293" t="s">
        <v>1054</v>
      </c>
      <c r="G11" s="293"/>
      <c r="H11" s="427">
        <f t="shared" si="0"/>
        <v>0</v>
      </c>
      <c r="I11" s="685">
        <f t="shared" si="1"/>
        <v>169</v>
      </c>
      <c r="J11" s="275"/>
      <c r="K11" s="276"/>
      <c r="L11" s="277"/>
      <c r="M11" s="278"/>
      <c r="N11" s="391"/>
      <c r="O11" s="545"/>
      <c r="P11" s="279"/>
      <c r="Q11" s="280">
        <v>169</v>
      </c>
      <c r="R11" s="195"/>
      <c r="S11" s="195"/>
      <c r="T11" s="195"/>
      <c r="U11" s="195"/>
      <c r="V11" s="195"/>
      <c r="W11" s="195"/>
      <c r="X11" s="195"/>
      <c r="Y11" s="428"/>
      <c r="Z11" s="775"/>
      <c r="AA11" s="281"/>
      <c r="AB11" s="282"/>
      <c r="AD11" s="282"/>
      <c r="AE11" s="282"/>
      <c r="AF11" s="282">
        <v>169</v>
      </c>
      <c r="AK11" s="410" t="s">
        <v>997</v>
      </c>
      <c r="AL11" s="410" t="s">
        <v>998</v>
      </c>
    </row>
    <row r="12" spans="1:38" ht="18.75" customHeight="1">
      <c r="A12" s="270">
        <v>42253</v>
      </c>
      <c r="B12" s="664" t="s">
        <v>339</v>
      </c>
      <c r="C12" s="286" t="s">
        <v>340</v>
      </c>
      <c r="D12" s="287" t="s">
        <v>873</v>
      </c>
      <c r="E12" s="273"/>
      <c r="F12" s="273" t="s">
        <v>1054</v>
      </c>
      <c r="G12" s="273"/>
      <c r="H12" s="427">
        <f t="shared" si="0"/>
        <v>0</v>
      </c>
      <c r="I12" s="685">
        <f t="shared" si="1"/>
        <v>17</v>
      </c>
      <c r="J12" s="288"/>
      <c r="K12" s="276"/>
      <c r="L12" s="277"/>
      <c r="M12" s="278"/>
      <c r="N12" s="391"/>
      <c r="O12" s="545"/>
      <c r="P12" s="279"/>
      <c r="Q12" s="280">
        <v>17</v>
      </c>
      <c r="R12" s="195"/>
      <c r="S12" s="195"/>
      <c r="T12" s="195"/>
      <c r="U12" s="195"/>
      <c r="V12" s="195"/>
      <c r="W12" s="195"/>
      <c r="X12" s="195"/>
      <c r="Y12" s="428"/>
      <c r="Z12" s="282"/>
      <c r="AA12" s="281"/>
      <c r="AB12" s="282"/>
      <c r="AC12" s="282">
        <v>17</v>
      </c>
      <c r="AD12" s="282"/>
      <c r="AE12" s="282"/>
      <c r="AF12" s="282"/>
      <c r="AK12" s="410" t="s">
        <v>999</v>
      </c>
      <c r="AL12" s="410" t="s">
        <v>1000</v>
      </c>
    </row>
    <row r="13" spans="1:38" s="425" customFormat="1" ht="18.75" customHeight="1">
      <c r="A13" s="270">
        <v>42253</v>
      </c>
      <c r="B13" s="289" t="s">
        <v>341</v>
      </c>
      <c r="C13" s="271" t="s">
        <v>493</v>
      </c>
      <c r="D13" s="272" t="s">
        <v>875</v>
      </c>
      <c r="E13" s="273"/>
      <c r="F13" s="273" t="s">
        <v>1054</v>
      </c>
      <c r="G13" s="273"/>
      <c r="H13" s="427">
        <f t="shared" si="0"/>
        <v>0</v>
      </c>
      <c r="I13" s="685">
        <f t="shared" si="1"/>
        <v>14</v>
      </c>
      <c r="J13" s="288"/>
      <c r="K13" s="276"/>
      <c r="L13" s="277"/>
      <c r="M13" s="278"/>
      <c r="N13" s="391"/>
      <c r="O13" s="545"/>
      <c r="P13" s="279"/>
      <c r="Q13" s="280">
        <v>14</v>
      </c>
      <c r="R13" s="195"/>
      <c r="S13" s="195"/>
      <c r="T13" s="195"/>
      <c r="U13" s="195"/>
      <c r="V13" s="195"/>
      <c r="W13" s="195"/>
      <c r="X13" s="195"/>
      <c r="Y13" s="428"/>
      <c r="Z13" s="775"/>
      <c r="AA13" s="281"/>
      <c r="AB13" s="282"/>
      <c r="AC13" s="282">
        <v>14</v>
      </c>
      <c r="AD13" s="282"/>
      <c r="AE13" s="282"/>
      <c r="AF13" s="282"/>
      <c r="AK13" s="410" t="s">
        <v>1001</v>
      </c>
      <c r="AL13" s="410" t="s">
        <v>1002</v>
      </c>
    </row>
    <row r="14" spans="1:38" s="425" customFormat="1" ht="18.75" customHeight="1">
      <c r="A14" s="270">
        <v>42255</v>
      </c>
      <c r="B14" s="283" t="s">
        <v>342</v>
      </c>
      <c r="C14" s="286" t="s">
        <v>343</v>
      </c>
      <c r="D14" s="287"/>
      <c r="E14" s="293"/>
      <c r="F14" s="293"/>
      <c r="G14" s="273"/>
      <c r="H14" s="427">
        <f t="shared" si="0"/>
        <v>3.6</v>
      </c>
      <c r="I14" s="685">
        <f t="shared" si="1"/>
        <v>0</v>
      </c>
      <c r="J14" s="275"/>
      <c r="K14" s="276"/>
      <c r="L14" s="277"/>
      <c r="M14" s="278"/>
      <c r="N14" s="391"/>
      <c r="O14" s="545"/>
      <c r="P14" s="279">
        <v>3.6</v>
      </c>
      <c r="Q14" s="280"/>
      <c r="R14" s="195">
        <v>3.6</v>
      </c>
      <c r="S14" s="195"/>
      <c r="T14" s="195"/>
      <c r="U14" s="195"/>
      <c r="V14" s="195"/>
      <c r="W14" s="195"/>
      <c r="X14" s="195"/>
      <c r="Y14" s="428"/>
      <c r="Z14" s="775"/>
      <c r="AA14" s="281"/>
      <c r="AB14" s="282"/>
      <c r="AC14" s="282"/>
      <c r="AD14" s="282"/>
      <c r="AE14" s="282"/>
      <c r="AF14" s="282"/>
      <c r="AK14" s="410"/>
      <c r="AL14" s="410" t="s">
        <v>1003</v>
      </c>
    </row>
    <row r="15" spans="1:38" s="425" customFormat="1" ht="18.75" customHeight="1">
      <c r="A15" s="270">
        <v>42251</v>
      </c>
      <c r="B15" s="283" t="s">
        <v>342</v>
      </c>
      <c r="C15" s="286" t="s">
        <v>343</v>
      </c>
      <c r="D15" s="287"/>
      <c r="E15" s="293"/>
      <c r="F15" s="293"/>
      <c r="G15" s="273"/>
      <c r="H15" s="427">
        <f t="shared" si="0"/>
        <v>4.8</v>
      </c>
      <c r="I15" s="685">
        <f t="shared" si="1"/>
        <v>0</v>
      </c>
      <c r="J15" s="288"/>
      <c r="K15" s="276"/>
      <c r="L15" s="277"/>
      <c r="M15" s="278"/>
      <c r="N15" s="391"/>
      <c r="O15" s="545"/>
      <c r="P15" s="279">
        <v>4.8</v>
      </c>
      <c r="Q15" s="280"/>
      <c r="R15" s="195">
        <v>4.8</v>
      </c>
      <c r="S15" s="195"/>
      <c r="T15" s="195"/>
      <c r="U15" s="195"/>
      <c r="V15" s="195"/>
      <c r="W15" s="195"/>
      <c r="X15" s="195"/>
      <c r="Y15" s="428"/>
      <c r="Z15" s="775"/>
      <c r="AA15" s="281"/>
      <c r="AB15" s="282"/>
      <c r="AC15" s="282"/>
      <c r="AD15" s="282"/>
      <c r="AE15" s="282"/>
      <c r="AF15" s="282"/>
      <c r="AK15" s="410" t="s">
        <v>736</v>
      </c>
      <c r="AL15" s="410" t="s">
        <v>737</v>
      </c>
    </row>
    <row r="16" spans="1:38" s="425" customFormat="1" ht="18.75" customHeight="1">
      <c r="A16" s="270">
        <v>42248</v>
      </c>
      <c r="B16" s="283" t="s">
        <v>967</v>
      </c>
      <c r="C16" s="286" t="s">
        <v>344</v>
      </c>
      <c r="D16" s="287" t="s">
        <v>540</v>
      </c>
      <c r="E16" s="293"/>
      <c r="F16" s="293"/>
      <c r="G16" s="273" t="s">
        <v>1054</v>
      </c>
      <c r="H16" s="427">
        <f t="shared" si="0"/>
        <v>1249.92</v>
      </c>
      <c r="I16" s="685">
        <f t="shared" si="1"/>
        <v>0</v>
      </c>
      <c r="J16" s="288">
        <v>1249.92</v>
      </c>
      <c r="K16" s="276"/>
      <c r="L16" s="277"/>
      <c r="M16" s="278"/>
      <c r="N16" s="391"/>
      <c r="O16" s="545"/>
      <c r="P16" s="279"/>
      <c r="Q16" s="280"/>
      <c r="R16" s="195"/>
      <c r="S16" s="195"/>
      <c r="T16" s="195"/>
      <c r="U16" s="195"/>
      <c r="V16" s="195">
        <v>1249.92</v>
      </c>
      <c r="W16" s="195"/>
      <c r="X16" s="195"/>
      <c r="Y16" s="428"/>
      <c r="Z16" s="775"/>
      <c r="AA16" s="281"/>
      <c r="AB16" s="282"/>
      <c r="AC16" s="282"/>
      <c r="AD16" s="282"/>
      <c r="AE16" s="282"/>
      <c r="AF16" s="282"/>
      <c r="AK16" s="410" t="s">
        <v>741</v>
      </c>
      <c r="AL16" s="425" t="s">
        <v>742</v>
      </c>
    </row>
    <row r="17" spans="1:38" s="425" customFormat="1" ht="18.75" customHeight="1">
      <c r="A17" s="270">
        <v>42249</v>
      </c>
      <c r="B17" s="620" t="s">
        <v>1051</v>
      </c>
      <c r="C17" s="271" t="s">
        <v>984</v>
      </c>
      <c r="D17" s="272" t="s">
        <v>540</v>
      </c>
      <c r="E17" s="273"/>
      <c r="F17" s="273"/>
      <c r="G17" s="273" t="s">
        <v>1054</v>
      </c>
      <c r="H17" s="427">
        <f t="shared" si="0"/>
        <v>15.3</v>
      </c>
      <c r="I17" s="685">
        <f t="shared" si="1"/>
        <v>0</v>
      </c>
      <c r="J17" s="275">
        <v>15.3</v>
      </c>
      <c r="K17" s="276"/>
      <c r="L17" s="277"/>
      <c r="M17" s="278"/>
      <c r="N17" s="391"/>
      <c r="O17" s="545"/>
      <c r="P17" s="279"/>
      <c r="Q17" s="280"/>
      <c r="R17" s="195"/>
      <c r="S17" s="195">
        <v>15.3</v>
      </c>
      <c r="T17" s="195"/>
      <c r="U17" s="195"/>
      <c r="V17" s="195"/>
      <c r="W17" s="195"/>
      <c r="X17" s="195"/>
      <c r="Y17" s="428"/>
      <c r="Z17" s="775"/>
      <c r="AA17" s="281"/>
      <c r="AB17" s="282"/>
      <c r="AC17" s="282"/>
      <c r="AD17" s="282"/>
      <c r="AE17" s="282"/>
      <c r="AF17" s="282"/>
      <c r="AK17" s="410"/>
      <c r="AL17" s="425" t="s">
        <v>745</v>
      </c>
    </row>
    <row r="18" spans="1:38" ht="18.75" customHeight="1">
      <c r="A18" s="270">
        <v>42250</v>
      </c>
      <c r="B18" s="283" t="s">
        <v>1057</v>
      </c>
      <c r="C18" s="431" t="s">
        <v>345</v>
      </c>
      <c r="D18" s="297" t="s">
        <v>346</v>
      </c>
      <c r="E18" s="273" t="s">
        <v>1054</v>
      </c>
      <c r="F18" s="273"/>
      <c r="G18" s="273"/>
      <c r="H18" s="427">
        <f t="shared" si="0"/>
        <v>80</v>
      </c>
      <c r="I18" s="685">
        <f t="shared" si="1"/>
        <v>0</v>
      </c>
      <c r="J18" s="288">
        <v>80</v>
      </c>
      <c r="K18" s="276"/>
      <c r="L18" s="277"/>
      <c r="M18" s="278"/>
      <c r="N18" s="391"/>
      <c r="O18" s="545"/>
      <c r="P18" s="279"/>
      <c r="Q18" s="280"/>
      <c r="R18" s="195">
        <v>80</v>
      </c>
      <c r="S18" s="195"/>
      <c r="T18" s="195"/>
      <c r="U18" s="195"/>
      <c r="V18" s="195"/>
      <c r="W18" s="195"/>
      <c r="X18" s="195"/>
      <c r="Y18" s="428"/>
      <c r="Z18" s="775"/>
      <c r="AA18" s="281"/>
      <c r="AB18" s="282"/>
      <c r="AC18" s="282"/>
      <c r="AD18" s="282"/>
      <c r="AE18" s="282"/>
      <c r="AF18" s="282"/>
      <c r="AK18" s="410"/>
      <c r="AL18" s="425" t="s">
        <v>748</v>
      </c>
    </row>
    <row r="19" spans="1:38" ht="18.75" customHeight="1">
      <c r="A19" s="270">
        <v>42250</v>
      </c>
      <c r="B19" s="620" t="s">
        <v>844</v>
      </c>
      <c r="C19" s="286" t="s">
        <v>145</v>
      </c>
      <c r="D19" s="287" t="s">
        <v>146</v>
      </c>
      <c r="E19" s="293" t="s">
        <v>1054</v>
      </c>
      <c r="F19" s="293"/>
      <c r="G19" s="293"/>
      <c r="H19" s="427">
        <f t="shared" si="0"/>
        <v>4398</v>
      </c>
      <c r="I19" s="685">
        <f t="shared" si="1"/>
        <v>0</v>
      </c>
      <c r="J19" s="288">
        <v>4398</v>
      </c>
      <c r="K19" s="692"/>
      <c r="L19" s="277"/>
      <c r="M19" s="278"/>
      <c r="N19" s="391"/>
      <c r="O19" s="545"/>
      <c r="P19" s="279"/>
      <c r="Q19" s="280"/>
      <c r="R19" s="195"/>
      <c r="S19" s="195"/>
      <c r="T19" s="195"/>
      <c r="U19" s="195"/>
      <c r="V19" s="195"/>
      <c r="W19" s="195">
        <v>4398</v>
      </c>
      <c r="X19" s="195"/>
      <c r="Y19" s="428"/>
      <c r="Z19" s="775"/>
      <c r="AA19" s="281"/>
      <c r="AB19" s="282"/>
      <c r="AC19" s="282"/>
      <c r="AD19" s="282"/>
      <c r="AE19" s="282"/>
      <c r="AF19" s="282"/>
      <c r="AK19" s="410"/>
      <c r="AL19" s="425" t="s">
        <v>685</v>
      </c>
    </row>
    <row r="20" spans="1:37" ht="18.75" customHeight="1">
      <c r="A20" s="270">
        <v>42254</v>
      </c>
      <c r="B20" s="620" t="s">
        <v>555</v>
      </c>
      <c r="C20" s="431" t="s">
        <v>147</v>
      </c>
      <c r="D20" s="272" t="s">
        <v>148</v>
      </c>
      <c r="E20" s="293" t="s">
        <v>1054</v>
      </c>
      <c r="F20" s="293"/>
      <c r="G20" s="293"/>
      <c r="H20" s="427">
        <f t="shared" si="0"/>
        <v>53.76</v>
      </c>
      <c r="I20" s="685">
        <f t="shared" si="1"/>
        <v>0</v>
      </c>
      <c r="J20" s="275">
        <v>53.76</v>
      </c>
      <c r="K20" s="276"/>
      <c r="L20" s="277"/>
      <c r="M20" s="278"/>
      <c r="N20" s="391"/>
      <c r="O20" s="545"/>
      <c r="P20" s="279"/>
      <c r="Q20" s="280"/>
      <c r="R20" s="195"/>
      <c r="S20" s="195"/>
      <c r="T20" s="195"/>
      <c r="U20" s="195"/>
      <c r="V20" s="195">
        <v>53.76</v>
      </c>
      <c r="W20" s="195"/>
      <c r="X20" s="195"/>
      <c r="Y20" s="428"/>
      <c r="Z20" s="775"/>
      <c r="AA20" s="281"/>
      <c r="AB20" s="282"/>
      <c r="AC20" s="282"/>
      <c r="AD20" s="282"/>
      <c r="AE20" s="282"/>
      <c r="AF20" s="282"/>
      <c r="AK20" s="410"/>
    </row>
    <row r="21" spans="1:37" ht="18.75" customHeight="1">
      <c r="A21" s="270">
        <v>42254</v>
      </c>
      <c r="B21" s="620" t="s">
        <v>149</v>
      </c>
      <c r="C21" s="431" t="s">
        <v>150</v>
      </c>
      <c r="D21" s="272"/>
      <c r="E21" s="293"/>
      <c r="F21" s="293"/>
      <c r="G21" s="293"/>
      <c r="H21" s="427">
        <f t="shared" si="0"/>
        <v>0</v>
      </c>
      <c r="I21" s="685">
        <f t="shared" si="1"/>
        <v>962.82</v>
      </c>
      <c r="J21" s="275"/>
      <c r="K21" s="276">
        <v>962.82</v>
      </c>
      <c r="L21" s="277"/>
      <c r="M21" s="278"/>
      <c r="N21" s="391"/>
      <c r="O21" s="545"/>
      <c r="P21" s="279"/>
      <c r="Q21" s="280"/>
      <c r="R21" s="195"/>
      <c r="S21" s="195"/>
      <c r="T21" s="195"/>
      <c r="U21" s="195"/>
      <c r="V21" s="195"/>
      <c r="W21" s="195"/>
      <c r="X21" s="195"/>
      <c r="Y21" s="428"/>
      <c r="Z21" s="775"/>
      <c r="AA21" s="281"/>
      <c r="AB21" s="282">
        <v>387.32</v>
      </c>
      <c r="AC21" s="282">
        <v>100.5</v>
      </c>
      <c r="AD21" s="282"/>
      <c r="AE21" s="282"/>
      <c r="AF21" s="282">
        <v>475</v>
      </c>
      <c r="AK21" s="410"/>
    </row>
    <row r="22" spans="1:32" ht="18.75" customHeight="1">
      <c r="A22" s="270">
        <v>42255</v>
      </c>
      <c r="B22" s="620" t="s">
        <v>646</v>
      </c>
      <c r="C22" s="431" t="s">
        <v>151</v>
      </c>
      <c r="D22" s="272" t="s">
        <v>353</v>
      </c>
      <c r="E22" s="293" t="s">
        <v>1054</v>
      </c>
      <c r="F22" s="293"/>
      <c r="G22" s="293"/>
      <c r="H22" s="427">
        <f t="shared" si="0"/>
        <v>342.8</v>
      </c>
      <c r="I22" s="685">
        <f t="shared" si="1"/>
        <v>0</v>
      </c>
      <c r="J22" s="275">
        <v>342.8</v>
      </c>
      <c r="K22" s="276"/>
      <c r="L22" s="277"/>
      <c r="M22" s="278"/>
      <c r="N22" s="391"/>
      <c r="O22" s="545"/>
      <c r="P22" s="279"/>
      <c r="Q22" s="280"/>
      <c r="R22" s="195"/>
      <c r="S22" s="195"/>
      <c r="T22" s="195"/>
      <c r="U22" s="195"/>
      <c r="V22" s="195"/>
      <c r="W22" s="195"/>
      <c r="X22" s="195">
        <v>342.8</v>
      </c>
      <c r="Y22" s="428"/>
      <c r="Z22" s="775"/>
      <c r="AA22" s="281"/>
      <c r="AB22" s="282"/>
      <c r="AC22" s="282"/>
      <c r="AD22" s="282"/>
      <c r="AE22" s="282"/>
      <c r="AF22" s="282"/>
    </row>
    <row r="23" spans="1:32" ht="18.75" customHeight="1">
      <c r="A23" s="270">
        <v>42255</v>
      </c>
      <c r="B23" s="283" t="s">
        <v>1055</v>
      </c>
      <c r="C23" s="431" t="s">
        <v>1055</v>
      </c>
      <c r="D23" s="272" t="s">
        <v>540</v>
      </c>
      <c r="E23" s="293"/>
      <c r="F23" s="293"/>
      <c r="G23" s="293" t="s">
        <v>1054</v>
      </c>
      <c r="H23" s="427">
        <f t="shared" si="0"/>
        <v>5.6</v>
      </c>
      <c r="I23" s="685">
        <f t="shared" si="1"/>
        <v>0</v>
      </c>
      <c r="J23" s="275">
        <v>5.6</v>
      </c>
      <c r="K23" s="276"/>
      <c r="L23" s="277"/>
      <c r="M23" s="278"/>
      <c r="N23" s="391"/>
      <c r="O23" s="545"/>
      <c r="P23" s="279"/>
      <c r="Q23" s="280"/>
      <c r="R23" s="195"/>
      <c r="S23" s="195"/>
      <c r="T23" s="195">
        <v>5.6</v>
      </c>
      <c r="U23" s="195"/>
      <c r="V23" s="195"/>
      <c r="W23" s="195"/>
      <c r="X23" s="195"/>
      <c r="Y23" s="428"/>
      <c r="Z23" s="775"/>
      <c r="AA23" s="281"/>
      <c r="AB23" s="282"/>
      <c r="AC23" s="282"/>
      <c r="AD23" s="282"/>
      <c r="AE23" s="282"/>
      <c r="AF23" s="282"/>
    </row>
    <row r="24" spans="1:32" ht="18.75" customHeight="1">
      <c r="A24" s="270">
        <v>42255</v>
      </c>
      <c r="B24" s="283" t="s">
        <v>1055</v>
      </c>
      <c r="C24" s="271" t="s">
        <v>1055</v>
      </c>
      <c r="D24" s="272" t="s">
        <v>540</v>
      </c>
      <c r="E24" s="293"/>
      <c r="F24" s="293"/>
      <c r="G24" s="293" t="s">
        <v>1054</v>
      </c>
      <c r="H24" s="427">
        <f t="shared" si="0"/>
        <v>31.98</v>
      </c>
      <c r="I24" s="685">
        <f t="shared" si="1"/>
        <v>0</v>
      </c>
      <c r="J24" s="275">
        <v>31.98</v>
      </c>
      <c r="K24" s="276"/>
      <c r="L24" s="277"/>
      <c r="M24" s="278"/>
      <c r="N24" s="391"/>
      <c r="O24" s="545"/>
      <c r="P24" s="279"/>
      <c r="Q24" s="280"/>
      <c r="R24" s="195"/>
      <c r="S24" s="195"/>
      <c r="T24" s="195">
        <v>31.98</v>
      </c>
      <c r="U24" s="195"/>
      <c r="V24" s="195"/>
      <c r="W24" s="195"/>
      <c r="X24" s="195"/>
      <c r="Y24" s="428"/>
      <c r="Z24" s="775"/>
      <c r="AA24" s="281"/>
      <c r="AB24" s="282"/>
      <c r="AC24" s="282"/>
      <c r="AD24" s="282"/>
      <c r="AE24" s="282"/>
      <c r="AF24" s="282"/>
    </row>
    <row r="25" spans="1:32" ht="18.75" customHeight="1">
      <c r="A25" s="270">
        <v>42257</v>
      </c>
      <c r="B25" s="283" t="s">
        <v>354</v>
      </c>
      <c r="C25" s="271" t="s">
        <v>355</v>
      </c>
      <c r="D25" s="272" t="s">
        <v>481</v>
      </c>
      <c r="E25" s="293" t="s">
        <v>1054</v>
      </c>
      <c r="F25" s="293"/>
      <c r="G25" s="293"/>
      <c r="H25" s="427">
        <f t="shared" si="0"/>
        <v>13.28</v>
      </c>
      <c r="I25" s="685">
        <f t="shared" si="1"/>
        <v>0</v>
      </c>
      <c r="J25" s="275">
        <v>13.28</v>
      </c>
      <c r="K25" s="276"/>
      <c r="L25" s="277"/>
      <c r="M25" s="278"/>
      <c r="N25" s="391"/>
      <c r="O25" s="545"/>
      <c r="P25" s="279"/>
      <c r="Q25" s="280"/>
      <c r="R25" s="195"/>
      <c r="S25" s="195"/>
      <c r="T25" s="195"/>
      <c r="U25" s="195"/>
      <c r="V25" s="195"/>
      <c r="W25" s="195"/>
      <c r="X25" s="195">
        <v>13.28</v>
      </c>
      <c r="Y25" s="428"/>
      <c r="Z25" s="775"/>
      <c r="AA25" s="281"/>
      <c r="AB25" s="282"/>
      <c r="AC25" s="282"/>
      <c r="AD25" s="282"/>
      <c r="AE25" s="282"/>
      <c r="AF25" s="282"/>
    </row>
    <row r="26" spans="1:32" ht="18.75" customHeight="1">
      <c r="A26" s="270">
        <v>42255</v>
      </c>
      <c r="B26" s="283" t="s">
        <v>674</v>
      </c>
      <c r="C26" s="271" t="s">
        <v>356</v>
      </c>
      <c r="D26" s="272" t="s">
        <v>357</v>
      </c>
      <c r="E26" s="293" t="s">
        <v>1054</v>
      </c>
      <c r="F26" s="293"/>
      <c r="G26" s="293"/>
      <c r="H26" s="427">
        <f t="shared" si="0"/>
        <v>37.92</v>
      </c>
      <c r="I26" s="685">
        <f t="shared" si="1"/>
        <v>0</v>
      </c>
      <c r="J26" s="275">
        <v>37.92</v>
      </c>
      <c r="K26" s="276"/>
      <c r="L26" s="277"/>
      <c r="M26" s="278"/>
      <c r="N26" s="391"/>
      <c r="O26" s="545"/>
      <c r="P26" s="279"/>
      <c r="Q26" s="280"/>
      <c r="R26" s="195"/>
      <c r="S26" s="195"/>
      <c r="T26" s="195"/>
      <c r="U26" s="195"/>
      <c r="V26" s="195">
        <v>37.92</v>
      </c>
      <c r="W26" s="195"/>
      <c r="X26" s="195"/>
      <c r="Y26" s="428"/>
      <c r="Z26" s="775"/>
      <c r="AA26" s="281"/>
      <c r="AB26" s="282"/>
      <c r="AC26" s="282"/>
      <c r="AD26" s="282"/>
      <c r="AE26" s="282"/>
      <c r="AF26" s="282"/>
    </row>
    <row r="27" spans="1:32" ht="18.75" customHeight="1">
      <c r="A27" s="270">
        <v>42261</v>
      </c>
      <c r="B27" s="283" t="s">
        <v>358</v>
      </c>
      <c r="C27" s="271" t="s">
        <v>452</v>
      </c>
      <c r="D27" s="272" t="s">
        <v>159</v>
      </c>
      <c r="E27" s="293" t="s">
        <v>1054</v>
      </c>
      <c r="F27" s="293"/>
      <c r="G27" s="293"/>
      <c r="H27" s="427">
        <f t="shared" si="0"/>
        <v>63.15</v>
      </c>
      <c r="I27" s="685">
        <f t="shared" si="1"/>
        <v>0</v>
      </c>
      <c r="J27" s="275">
        <v>63.15</v>
      </c>
      <c r="K27" s="276"/>
      <c r="L27" s="277"/>
      <c r="M27" s="278"/>
      <c r="N27" s="391"/>
      <c r="O27" s="545"/>
      <c r="P27" s="279"/>
      <c r="Q27" s="280"/>
      <c r="R27" s="195"/>
      <c r="S27" s="195"/>
      <c r="T27" s="195">
        <v>63.15</v>
      </c>
      <c r="U27" s="195"/>
      <c r="V27" s="195"/>
      <c r="W27" s="195"/>
      <c r="X27" s="195"/>
      <c r="Y27" s="428"/>
      <c r="Z27" s="282"/>
      <c r="AA27" s="281"/>
      <c r="AB27" s="282"/>
      <c r="AC27" s="282"/>
      <c r="AD27" s="282"/>
      <c r="AE27" s="282"/>
      <c r="AF27" s="282"/>
    </row>
    <row r="28" spans="1:32" ht="18.75" customHeight="1">
      <c r="A28" s="270">
        <v>42261</v>
      </c>
      <c r="B28" s="283" t="s">
        <v>358</v>
      </c>
      <c r="C28" s="271" t="s">
        <v>160</v>
      </c>
      <c r="D28" s="272" t="s">
        <v>161</v>
      </c>
      <c r="E28" s="293" t="s">
        <v>1054</v>
      </c>
      <c r="F28" s="293"/>
      <c r="G28" s="293"/>
      <c r="H28" s="427">
        <f t="shared" si="0"/>
        <v>119.66</v>
      </c>
      <c r="I28" s="685">
        <f t="shared" si="1"/>
        <v>0</v>
      </c>
      <c r="J28" s="275">
        <v>119.66</v>
      </c>
      <c r="K28" s="276"/>
      <c r="L28" s="277"/>
      <c r="M28" s="278"/>
      <c r="N28" s="391"/>
      <c r="O28" s="545"/>
      <c r="P28" s="279"/>
      <c r="Q28" s="280"/>
      <c r="R28" s="195"/>
      <c r="S28" s="195"/>
      <c r="T28" s="195">
        <v>119.66</v>
      </c>
      <c r="U28" s="195"/>
      <c r="V28" s="195"/>
      <c r="W28" s="195"/>
      <c r="X28" s="195"/>
      <c r="Y28" s="428"/>
      <c r="Z28" s="282"/>
      <c r="AA28" s="281"/>
      <c r="AB28" s="282"/>
      <c r="AC28" s="282"/>
      <c r="AD28" s="282"/>
      <c r="AE28" s="282"/>
      <c r="AF28" s="282"/>
    </row>
    <row r="29" spans="1:32" ht="18.75" customHeight="1">
      <c r="A29" s="270">
        <v>42263</v>
      </c>
      <c r="B29" s="283" t="s">
        <v>833</v>
      </c>
      <c r="C29" s="271" t="s">
        <v>162</v>
      </c>
      <c r="D29" s="272" t="s">
        <v>163</v>
      </c>
      <c r="E29" s="293" t="s">
        <v>1054</v>
      </c>
      <c r="F29" s="293"/>
      <c r="G29" s="293"/>
      <c r="H29" s="427">
        <f t="shared" si="0"/>
        <v>206.26</v>
      </c>
      <c r="I29" s="685">
        <f t="shared" si="1"/>
        <v>0</v>
      </c>
      <c r="J29" s="275">
        <v>206.26</v>
      </c>
      <c r="K29" s="276"/>
      <c r="L29" s="277"/>
      <c r="M29" s="278"/>
      <c r="N29" s="391"/>
      <c r="O29" s="545"/>
      <c r="P29" s="279"/>
      <c r="Q29" s="280"/>
      <c r="R29" s="195"/>
      <c r="S29" s="195"/>
      <c r="T29" s="195"/>
      <c r="U29" s="195"/>
      <c r="V29" s="195"/>
      <c r="W29" s="195">
        <v>206.26</v>
      </c>
      <c r="X29" s="553"/>
      <c r="Y29" s="568"/>
      <c r="Z29" s="569"/>
      <c r="AA29" s="281"/>
      <c r="AB29" s="282"/>
      <c r="AC29" s="282"/>
      <c r="AD29" s="282"/>
      <c r="AE29" s="282"/>
      <c r="AF29" s="282"/>
    </row>
    <row r="30" spans="1:32" ht="18.75" customHeight="1">
      <c r="A30" s="270">
        <v>42263</v>
      </c>
      <c r="B30" s="283" t="s">
        <v>833</v>
      </c>
      <c r="C30" s="271" t="s">
        <v>362</v>
      </c>
      <c r="D30" s="272" t="s">
        <v>363</v>
      </c>
      <c r="E30" s="293" t="s">
        <v>1054</v>
      </c>
      <c r="F30" s="293"/>
      <c r="G30" s="293"/>
      <c r="H30" s="427">
        <f t="shared" si="0"/>
        <v>407.78</v>
      </c>
      <c r="I30" s="685">
        <f t="shared" si="1"/>
        <v>0</v>
      </c>
      <c r="J30" s="275">
        <v>407.78</v>
      </c>
      <c r="K30" s="276"/>
      <c r="L30" s="277"/>
      <c r="M30" s="278"/>
      <c r="N30" s="391"/>
      <c r="O30" s="545"/>
      <c r="P30" s="279"/>
      <c r="Q30" s="280"/>
      <c r="R30" s="195"/>
      <c r="S30" s="195"/>
      <c r="T30" s="195"/>
      <c r="U30" s="195"/>
      <c r="V30" s="195">
        <v>248.63</v>
      </c>
      <c r="W30" s="195">
        <v>159.15</v>
      </c>
      <c r="X30" s="553"/>
      <c r="Y30" s="568"/>
      <c r="Z30" s="569"/>
      <c r="AA30" s="281"/>
      <c r="AB30" s="282"/>
      <c r="AC30" s="282"/>
      <c r="AD30" s="282"/>
      <c r="AE30" s="282"/>
      <c r="AF30" s="282"/>
    </row>
    <row r="31" spans="1:32" ht="18.75" customHeight="1">
      <c r="A31" s="270">
        <v>42265</v>
      </c>
      <c r="B31" s="283" t="s">
        <v>364</v>
      </c>
      <c r="C31" s="271" t="s">
        <v>365</v>
      </c>
      <c r="D31" s="272" t="s">
        <v>366</v>
      </c>
      <c r="E31" s="293" t="s">
        <v>1054</v>
      </c>
      <c r="F31" s="293"/>
      <c r="G31" s="293"/>
      <c r="H31" s="427">
        <f t="shared" si="0"/>
        <v>28.66</v>
      </c>
      <c r="I31" s="685">
        <f t="shared" si="1"/>
        <v>0</v>
      </c>
      <c r="J31" s="275">
        <v>28.66</v>
      </c>
      <c r="K31" s="276"/>
      <c r="L31" s="277"/>
      <c r="M31" s="278"/>
      <c r="N31" s="391"/>
      <c r="O31" s="545"/>
      <c r="P31" s="279"/>
      <c r="Q31" s="280"/>
      <c r="R31" s="195"/>
      <c r="S31" s="195"/>
      <c r="T31" s="195">
        <v>28.66</v>
      </c>
      <c r="U31" s="195"/>
      <c r="V31" s="195"/>
      <c r="W31" s="195"/>
      <c r="X31" s="553"/>
      <c r="Y31" s="568"/>
      <c r="Z31" s="569"/>
      <c r="AA31" s="281"/>
      <c r="AB31" s="282"/>
      <c r="AC31" s="282"/>
      <c r="AD31" s="282"/>
      <c r="AE31" s="282"/>
      <c r="AF31" s="282"/>
    </row>
    <row r="32" spans="1:32" ht="18.75" customHeight="1">
      <c r="A32" s="751">
        <v>42268</v>
      </c>
      <c r="B32" s="283" t="s">
        <v>989</v>
      </c>
      <c r="C32" s="271" t="s">
        <v>1056</v>
      </c>
      <c r="D32" s="272" t="s">
        <v>540</v>
      </c>
      <c r="E32" s="293"/>
      <c r="F32" s="293"/>
      <c r="G32" s="293" t="s">
        <v>1054</v>
      </c>
      <c r="H32" s="427">
        <f t="shared" si="0"/>
        <v>606.76</v>
      </c>
      <c r="I32" s="685">
        <f t="shared" si="1"/>
        <v>0</v>
      </c>
      <c r="J32" s="275">
        <v>606.76</v>
      </c>
      <c r="K32" s="276"/>
      <c r="L32" s="277"/>
      <c r="M32" s="278"/>
      <c r="N32" s="391"/>
      <c r="O32" s="545"/>
      <c r="P32" s="279"/>
      <c r="Q32" s="280"/>
      <c r="R32" s="195"/>
      <c r="S32" s="195"/>
      <c r="T32" s="195"/>
      <c r="U32" s="195">
        <v>606.76</v>
      </c>
      <c r="V32" s="195"/>
      <c r="W32" s="195"/>
      <c r="X32" s="553"/>
      <c r="Y32" s="568"/>
      <c r="Z32" s="569"/>
      <c r="AA32" s="281"/>
      <c r="AB32" s="282"/>
      <c r="AC32" s="282"/>
      <c r="AD32" s="282"/>
      <c r="AE32" s="282"/>
      <c r="AF32" s="282"/>
    </row>
    <row r="33" spans="1:32" ht="18.75" customHeight="1">
      <c r="A33" s="751">
        <v>42257</v>
      </c>
      <c r="B33" s="283" t="s">
        <v>367</v>
      </c>
      <c r="C33" s="271" t="s">
        <v>732</v>
      </c>
      <c r="D33" s="272" t="s">
        <v>368</v>
      </c>
      <c r="E33" s="293"/>
      <c r="F33" s="293" t="s">
        <v>1054</v>
      </c>
      <c r="G33" s="293"/>
      <c r="H33" s="427">
        <f t="shared" si="0"/>
        <v>0</v>
      </c>
      <c r="I33" s="685">
        <f t="shared" si="1"/>
        <v>12</v>
      </c>
      <c r="J33" s="275"/>
      <c r="K33" s="276"/>
      <c r="L33" s="277"/>
      <c r="M33" s="278"/>
      <c r="N33" s="391"/>
      <c r="O33" s="545"/>
      <c r="P33" s="279"/>
      <c r="Q33" s="280">
        <v>12</v>
      </c>
      <c r="R33" s="195"/>
      <c r="S33" s="195"/>
      <c r="T33" s="195"/>
      <c r="U33" s="195"/>
      <c r="V33" s="195"/>
      <c r="W33" s="195"/>
      <c r="X33" s="553"/>
      <c r="Y33" s="568"/>
      <c r="Z33" s="569"/>
      <c r="AA33" s="281"/>
      <c r="AB33" s="282"/>
      <c r="AC33" s="282">
        <v>12</v>
      </c>
      <c r="AD33" s="282"/>
      <c r="AE33" s="282"/>
      <c r="AF33" s="282"/>
    </row>
    <row r="34" spans="1:32" ht="18.75" customHeight="1">
      <c r="A34" s="751">
        <v>42267</v>
      </c>
      <c r="B34" s="283" t="s">
        <v>290</v>
      </c>
      <c r="C34" s="271" t="s">
        <v>732</v>
      </c>
      <c r="D34" s="272" t="s">
        <v>369</v>
      </c>
      <c r="E34" s="293"/>
      <c r="F34" s="293" t="s">
        <v>1054</v>
      </c>
      <c r="G34" s="293"/>
      <c r="H34" s="427">
        <f t="shared" si="0"/>
        <v>0</v>
      </c>
      <c r="I34" s="685">
        <f t="shared" si="1"/>
        <v>32.4</v>
      </c>
      <c r="J34" s="275"/>
      <c r="K34" s="276"/>
      <c r="L34" s="277"/>
      <c r="M34" s="278"/>
      <c r="N34" s="391"/>
      <c r="O34" s="545"/>
      <c r="P34" s="279"/>
      <c r="Q34" s="280">
        <v>32.4</v>
      </c>
      <c r="R34" s="195"/>
      <c r="S34" s="195"/>
      <c r="T34" s="195"/>
      <c r="U34" s="195"/>
      <c r="V34" s="195"/>
      <c r="W34" s="195"/>
      <c r="X34" s="553"/>
      <c r="Y34" s="568"/>
      <c r="Z34" s="569"/>
      <c r="AA34" s="281"/>
      <c r="AB34" s="282"/>
      <c r="AC34" s="282">
        <v>32.4</v>
      </c>
      <c r="AD34" s="282"/>
      <c r="AE34" s="282"/>
      <c r="AF34" s="282"/>
    </row>
    <row r="35" spans="1:32" ht="18.75" customHeight="1">
      <c r="A35" s="751">
        <v>42267</v>
      </c>
      <c r="B35" s="283" t="s">
        <v>174</v>
      </c>
      <c r="C35" s="271" t="s">
        <v>859</v>
      </c>
      <c r="D35" s="272" t="s">
        <v>175</v>
      </c>
      <c r="E35" s="293"/>
      <c r="F35" s="293" t="s">
        <v>1054</v>
      </c>
      <c r="G35" s="293"/>
      <c r="H35" s="427">
        <f t="shared" si="0"/>
        <v>0</v>
      </c>
      <c r="I35" s="685">
        <f t="shared" si="1"/>
        <v>14</v>
      </c>
      <c r="J35" s="275"/>
      <c r="K35" s="276"/>
      <c r="L35" s="277"/>
      <c r="M35" s="278"/>
      <c r="N35" s="391"/>
      <c r="O35" s="545"/>
      <c r="P35" s="279"/>
      <c r="Q35" s="280">
        <v>14</v>
      </c>
      <c r="R35" s="195"/>
      <c r="S35" s="195"/>
      <c r="T35" s="195"/>
      <c r="U35" s="195"/>
      <c r="V35" s="195"/>
      <c r="W35" s="195"/>
      <c r="X35" s="553"/>
      <c r="Y35" s="568"/>
      <c r="Z35" s="569"/>
      <c r="AA35" s="281"/>
      <c r="AB35" s="282"/>
      <c r="AC35" s="282">
        <v>14</v>
      </c>
      <c r="AD35" s="282"/>
      <c r="AE35" s="282"/>
      <c r="AF35" s="282"/>
    </row>
    <row r="36" spans="1:32" ht="18.75" customHeight="1">
      <c r="A36" s="751">
        <v>42274</v>
      </c>
      <c r="B36" s="283" t="s">
        <v>292</v>
      </c>
      <c r="C36" s="271" t="s">
        <v>732</v>
      </c>
      <c r="D36" s="272" t="s">
        <v>176</v>
      </c>
      <c r="E36" s="293"/>
      <c r="F36" s="293" t="s">
        <v>1054</v>
      </c>
      <c r="G36" s="293"/>
      <c r="H36" s="427">
        <f t="shared" si="0"/>
        <v>0</v>
      </c>
      <c r="I36" s="685">
        <f t="shared" si="1"/>
        <v>21.6</v>
      </c>
      <c r="J36" s="275"/>
      <c r="K36" s="276"/>
      <c r="L36" s="277"/>
      <c r="M36" s="278"/>
      <c r="N36" s="391"/>
      <c r="O36" s="545"/>
      <c r="P36" s="279"/>
      <c r="Q36" s="280">
        <v>21.6</v>
      </c>
      <c r="R36" s="195"/>
      <c r="S36" s="195"/>
      <c r="T36" s="195"/>
      <c r="U36" s="195"/>
      <c r="V36" s="195"/>
      <c r="W36" s="195"/>
      <c r="X36" s="553"/>
      <c r="Y36" s="568"/>
      <c r="Z36" s="569"/>
      <c r="AA36" s="281"/>
      <c r="AB36" s="282"/>
      <c r="AC36" s="282">
        <v>21.6</v>
      </c>
      <c r="AD36" s="282"/>
      <c r="AE36" s="282"/>
      <c r="AF36" s="282"/>
    </row>
    <row r="37" spans="1:32" ht="18.75" customHeight="1">
      <c r="A37" s="751">
        <v>42274</v>
      </c>
      <c r="B37" s="283" t="s">
        <v>314</v>
      </c>
      <c r="C37" s="271" t="s">
        <v>732</v>
      </c>
      <c r="D37" s="272" t="s">
        <v>177</v>
      </c>
      <c r="E37" s="293"/>
      <c r="F37" s="293" t="s">
        <v>1054</v>
      </c>
      <c r="G37" s="293"/>
      <c r="H37" s="427">
        <f t="shared" si="0"/>
        <v>0</v>
      </c>
      <c r="I37" s="685">
        <f t="shared" si="1"/>
        <v>10.8</v>
      </c>
      <c r="J37" s="275"/>
      <c r="K37" s="276"/>
      <c r="L37" s="277"/>
      <c r="M37" s="278"/>
      <c r="N37" s="391"/>
      <c r="O37" s="545"/>
      <c r="P37" s="279"/>
      <c r="Q37" s="280">
        <v>10.8</v>
      </c>
      <c r="R37" s="195"/>
      <c r="S37" s="195"/>
      <c r="T37" s="195"/>
      <c r="U37" s="195"/>
      <c r="V37" s="195"/>
      <c r="W37" s="195"/>
      <c r="X37" s="553"/>
      <c r="Y37" s="568"/>
      <c r="Z37" s="569"/>
      <c r="AA37" s="281"/>
      <c r="AB37" s="282"/>
      <c r="AC37" s="282">
        <v>10.8</v>
      </c>
      <c r="AD37" s="282"/>
      <c r="AE37" s="282"/>
      <c r="AF37" s="282"/>
    </row>
    <row r="38" spans="1:32" ht="18.75" customHeight="1">
      <c r="A38" s="682"/>
      <c r="B38" s="283"/>
      <c r="C38" s="271"/>
      <c r="D38" s="272"/>
      <c r="E38" s="293"/>
      <c r="F38" s="293"/>
      <c r="G38" s="293"/>
      <c r="H38" s="427">
        <f t="shared" si="0"/>
        <v>0</v>
      </c>
      <c r="I38" s="685">
        <f t="shared" si="1"/>
        <v>0</v>
      </c>
      <c r="J38" s="275"/>
      <c r="K38" s="276"/>
      <c r="L38" s="277"/>
      <c r="M38" s="278"/>
      <c r="N38" s="391"/>
      <c r="O38" s="545"/>
      <c r="P38" s="279"/>
      <c r="Q38" s="280"/>
      <c r="R38" s="195"/>
      <c r="S38" s="195"/>
      <c r="T38" s="195"/>
      <c r="U38" s="195"/>
      <c r="V38" s="195"/>
      <c r="W38" s="195"/>
      <c r="X38" s="553"/>
      <c r="Y38" s="568"/>
      <c r="Z38" s="569"/>
      <c r="AA38" s="281"/>
      <c r="AB38" s="282"/>
      <c r="AC38" s="282"/>
      <c r="AD38" s="282"/>
      <c r="AE38" s="282"/>
      <c r="AF38" s="282"/>
    </row>
    <row r="39" spans="1:32" ht="18.75" customHeight="1" thickBot="1">
      <c r="A39" s="682"/>
      <c r="B39" s="283"/>
      <c r="C39" s="271"/>
      <c r="D39" s="272"/>
      <c r="E39" s="293"/>
      <c r="F39" s="293"/>
      <c r="G39" s="293"/>
      <c r="H39" s="427">
        <f t="shared" si="0"/>
        <v>0</v>
      </c>
      <c r="I39" s="685">
        <f t="shared" si="1"/>
        <v>0</v>
      </c>
      <c r="J39" s="275"/>
      <c r="K39" s="276"/>
      <c r="L39" s="277"/>
      <c r="M39" s="278"/>
      <c r="N39" s="524"/>
      <c r="O39" s="546"/>
      <c r="P39" s="279"/>
      <c r="Q39" s="280"/>
      <c r="R39" s="195"/>
      <c r="S39" s="195"/>
      <c r="T39" s="195"/>
      <c r="U39" s="195"/>
      <c r="V39" s="195"/>
      <c r="W39" s="195"/>
      <c r="X39" s="553"/>
      <c r="Y39" s="571"/>
      <c r="Z39" s="572"/>
      <c r="AA39" s="281"/>
      <c r="AB39" s="282"/>
      <c r="AC39" s="282"/>
      <c r="AD39" s="282"/>
      <c r="AE39" s="282"/>
      <c r="AF39" s="282"/>
    </row>
    <row r="40" spans="1:32" ht="18.75" customHeight="1" thickBot="1">
      <c r="A40" s="682"/>
      <c r="B40" s="435"/>
      <c r="C40" s="435" t="s">
        <v>178</v>
      </c>
      <c r="D40" s="436"/>
      <c r="E40" s="437"/>
      <c r="F40" s="437"/>
      <c r="G40" s="437"/>
      <c r="H40" s="438">
        <f aca="true" t="shared" si="2" ref="H40:O40">SUM(H8:H39)</f>
        <v>7669.23</v>
      </c>
      <c r="I40" s="439">
        <f t="shared" si="2"/>
        <v>1302.42</v>
      </c>
      <c r="J40" s="440">
        <f t="shared" si="2"/>
        <v>7660.83</v>
      </c>
      <c r="K40" s="440">
        <f t="shared" si="2"/>
        <v>962.82</v>
      </c>
      <c r="L40" s="440">
        <f t="shared" si="2"/>
        <v>0</v>
      </c>
      <c r="M40" s="440">
        <f t="shared" si="2"/>
        <v>0</v>
      </c>
      <c r="N40" s="440">
        <f t="shared" si="2"/>
        <v>0</v>
      </c>
      <c r="O40" s="440">
        <f t="shared" si="2"/>
        <v>0</v>
      </c>
      <c r="P40" s="440">
        <f aca="true" t="shared" si="3" ref="P40:AF40">SUM(P8:P39)</f>
        <v>8.4</v>
      </c>
      <c r="Q40" s="440">
        <f t="shared" si="3"/>
        <v>339.6</v>
      </c>
      <c r="R40" s="440">
        <f t="shared" si="3"/>
        <v>88.4</v>
      </c>
      <c r="S40" s="440">
        <f t="shared" si="3"/>
        <v>15.3</v>
      </c>
      <c r="T40" s="440">
        <f>SUM(T8:T39)</f>
        <v>249.04999999999998</v>
      </c>
      <c r="U40" s="440">
        <f t="shared" si="3"/>
        <v>606.76</v>
      </c>
      <c r="V40" s="440">
        <f t="shared" si="3"/>
        <v>1590.23</v>
      </c>
      <c r="W40" s="440">
        <f t="shared" si="3"/>
        <v>4763.41</v>
      </c>
      <c r="X40" s="440">
        <f t="shared" si="3"/>
        <v>356.08</v>
      </c>
      <c r="Y40" s="440">
        <f t="shared" si="3"/>
        <v>0</v>
      </c>
      <c r="Z40" s="440">
        <f t="shared" si="3"/>
        <v>0</v>
      </c>
      <c r="AA40" s="440">
        <f t="shared" si="3"/>
        <v>0</v>
      </c>
      <c r="AB40" s="440">
        <f t="shared" si="3"/>
        <v>387.32</v>
      </c>
      <c r="AC40" s="440">
        <f t="shared" si="3"/>
        <v>271.1</v>
      </c>
      <c r="AD40" s="440">
        <f t="shared" si="3"/>
        <v>0</v>
      </c>
      <c r="AE40" s="440">
        <f t="shared" si="3"/>
        <v>0</v>
      </c>
      <c r="AF40" s="440">
        <f t="shared" si="3"/>
        <v>644</v>
      </c>
    </row>
    <row r="41" spans="2:32" ht="12">
      <c r="B41" s="441"/>
      <c r="C41" s="441"/>
      <c r="D41" s="442"/>
      <c r="E41" s="422"/>
      <c r="F41" s="422"/>
      <c r="G41" s="422"/>
      <c r="H41" s="443"/>
      <c r="I41" s="443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</row>
    <row r="42" spans="2:32" s="445" customFormat="1" ht="18.75" customHeight="1" thickBot="1">
      <c r="B42" s="446"/>
      <c r="C42" s="446"/>
      <c r="D42" s="407"/>
      <c r="E42" s="397"/>
      <c r="F42" s="397"/>
      <c r="G42" s="447" t="s">
        <v>1066</v>
      </c>
      <c r="H42" s="448">
        <f>(J40+L40+N40+P40)-Y40</f>
        <v>7669.23</v>
      </c>
      <c r="J42" s="449"/>
      <c r="K42" s="400"/>
      <c r="N42" s="449"/>
      <c r="O42" s="449" t="s">
        <v>1067</v>
      </c>
      <c r="P42" s="450">
        <f>(K40+M40+O40+Q40)-Z40</f>
        <v>1302.42</v>
      </c>
      <c r="Q42" s="451"/>
      <c r="T42" s="449" t="s">
        <v>1068</v>
      </c>
      <c r="U42" s="549">
        <f>(R40+S40+T40+U40+V40+W40+X40)</f>
        <v>7669.23</v>
      </c>
      <c r="V42" s="453"/>
      <c r="W42" s="453"/>
      <c r="X42" s="453"/>
      <c r="Y42" s="454"/>
      <c r="AA42" s="455"/>
      <c r="AC42" s="447" t="s">
        <v>885</v>
      </c>
      <c r="AD42" s="550">
        <f>(AA40+AB40+AC40+AD40+AE40+AF40)</f>
        <v>1302.42</v>
      </c>
      <c r="AE42" s="453"/>
      <c r="AF42" s="453"/>
    </row>
    <row r="43" spans="2:32" s="457" customFormat="1" ht="18.75" customHeight="1" thickBot="1">
      <c r="B43" s="458"/>
      <c r="C43" s="459" t="s">
        <v>179</v>
      </c>
      <c r="D43" s="460"/>
      <c r="E43" s="397"/>
      <c r="F43" s="397"/>
      <c r="G43" s="461"/>
      <c r="H43" s="462">
        <f aca="true" t="shared" si="4" ref="H43:AF43">SUM(H3+H40)</f>
        <v>60580.26999999999</v>
      </c>
      <c r="I43" s="463">
        <f t="shared" si="4"/>
        <v>64761.44000000001</v>
      </c>
      <c r="J43" s="464">
        <f t="shared" si="4"/>
        <v>52437.17</v>
      </c>
      <c r="K43" s="464">
        <f t="shared" si="4"/>
        <v>57588.47</v>
      </c>
      <c r="L43" s="464">
        <f t="shared" si="4"/>
        <v>0</v>
      </c>
      <c r="M43" s="464">
        <f t="shared" si="4"/>
        <v>63232.73</v>
      </c>
      <c r="N43" s="464">
        <f t="shared" si="4"/>
        <v>0</v>
      </c>
      <c r="O43" s="464">
        <f t="shared" si="4"/>
        <v>77741.76</v>
      </c>
      <c r="P43" s="464">
        <f t="shared" si="4"/>
        <v>8143.099999999999</v>
      </c>
      <c r="Q43" s="464">
        <f t="shared" si="4"/>
        <v>9130.86</v>
      </c>
      <c r="R43" s="464">
        <f t="shared" si="4"/>
        <v>2910.2700000000004</v>
      </c>
      <c r="S43" s="464">
        <f t="shared" si="4"/>
        <v>168.3</v>
      </c>
      <c r="T43" s="464">
        <f t="shared" si="4"/>
        <v>4466.9800000000005</v>
      </c>
      <c r="U43" s="464">
        <f t="shared" si="4"/>
        <v>8445.31</v>
      </c>
      <c r="V43" s="464">
        <f t="shared" si="4"/>
        <v>9183.04</v>
      </c>
      <c r="W43" s="464">
        <f t="shared" si="4"/>
        <v>11540.94</v>
      </c>
      <c r="X43" s="464">
        <f t="shared" si="4"/>
        <v>3865.43</v>
      </c>
      <c r="Y43" s="464">
        <f t="shared" si="4"/>
        <v>20000</v>
      </c>
      <c r="Z43" s="464">
        <f t="shared" si="4"/>
        <v>20000</v>
      </c>
      <c r="AA43" s="464">
        <f t="shared" si="4"/>
        <v>0</v>
      </c>
      <c r="AB43" s="464">
        <f t="shared" si="4"/>
        <v>34454.45</v>
      </c>
      <c r="AC43" s="464">
        <f t="shared" si="4"/>
        <v>5253.6</v>
      </c>
      <c r="AD43" s="464">
        <f t="shared" si="4"/>
        <v>100</v>
      </c>
      <c r="AE43" s="464">
        <f t="shared" si="4"/>
        <v>1237.54</v>
      </c>
      <c r="AF43" s="464">
        <f t="shared" si="4"/>
        <v>3715.85</v>
      </c>
    </row>
    <row r="44" spans="2:32" s="457" customFormat="1" ht="12.75" thickBot="1">
      <c r="B44" s="458"/>
      <c r="C44" s="458"/>
      <c r="D44" s="460"/>
      <c r="E44" s="397"/>
      <c r="F44" s="397"/>
      <c r="G44" s="461"/>
      <c r="H44" s="465"/>
      <c r="I44" s="466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</row>
    <row r="45" spans="2:32" s="445" customFormat="1" ht="18.75" customHeight="1" thickBot="1">
      <c r="B45" s="458"/>
      <c r="C45" s="468"/>
      <c r="D45" s="407"/>
      <c r="E45" s="397"/>
      <c r="F45" s="397"/>
      <c r="G45" s="447" t="s">
        <v>887</v>
      </c>
      <c r="H45" s="469">
        <f>(J43+L43+P43)-Y43</f>
        <v>40580.27</v>
      </c>
      <c r="J45" s="449"/>
      <c r="K45" s="400"/>
      <c r="N45" s="449"/>
      <c r="O45" s="449" t="s">
        <v>938</v>
      </c>
      <c r="P45" s="450">
        <f>(K43+M43+O43+Q43)-Y43</f>
        <v>187693.82</v>
      </c>
      <c r="Q45" s="451"/>
      <c r="R45" s="449" t="s">
        <v>887</v>
      </c>
      <c r="S45" s="452"/>
      <c r="T45" s="453"/>
      <c r="U45" s="453"/>
      <c r="V45" s="453"/>
      <c r="W45" s="453"/>
      <c r="X45" s="453"/>
      <c r="Y45" s="470"/>
      <c r="AA45" s="455"/>
      <c r="AB45" s="447" t="s">
        <v>1069</v>
      </c>
      <c r="AC45" s="456">
        <f>(AA43+AB43+AC43+AD43+AE43+AF43)</f>
        <v>44761.439999999995</v>
      </c>
      <c r="AD45" s="453"/>
      <c r="AE45" s="453"/>
      <c r="AF45" s="453"/>
    </row>
    <row r="46" spans="2:28" ht="18.75" customHeight="1" thickBot="1">
      <c r="B46" s="458"/>
      <c r="C46" s="471" t="s">
        <v>330</v>
      </c>
      <c r="D46" s="472" t="s">
        <v>1071</v>
      </c>
      <c r="E46" s="473"/>
      <c r="F46" s="473"/>
      <c r="G46" s="473"/>
      <c r="H46" s="474">
        <f>Août15!H110</f>
        <v>11849.309999999998</v>
      </c>
      <c r="I46" s="475"/>
      <c r="J46" s="476" t="s">
        <v>1072</v>
      </c>
      <c r="K46" s="474">
        <f>Août15!K110</f>
        <v>63232.73</v>
      </c>
      <c r="L46" s="477"/>
      <c r="M46" s="343" t="s">
        <v>1073</v>
      </c>
      <c r="N46" s="601">
        <f>Août15!N110</f>
        <v>77741.76</v>
      </c>
      <c r="O46" s="477"/>
      <c r="P46" s="478" t="s">
        <v>981</v>
      </c>
      <c r="Q46" s="474">
        <f>Août15!Q110</f>
        <v>656.5600000000004</v>
      </c>
      <c r="AB46" s="479"/>
    </row>
    <row r="47" spans="2:28" s="480" customFormat="1" ht="12.75" thickBot="1">
      <c r="B47" s="425"/>
      <c r="C47" s="481" t="s">
        <v>894</v>
      </c>
      <c r="D47" s="482"/>
      <c r="E47" s="397"/>
      <c r="F47" s="397"/>
      <c r="G47" s="397"/>
      <c r="H47" s="483"/>
      <c r="I47" s="484"/>
      <c r="J47" s="483"/>
      <c r="K47" s="483"/>
      <c r="L47" s="484"/>
      <c r="M47" s="484"/>
      <c r="N47" s="484"/>
      <c r="O47" s="484"/>
      <c r="P47" s="483"/>
      <c r="Q47" s="400"/>
      <c r="R47" s="485"/>
      <c r="S47" s="476" t="s">
        <v>1074</v>
      </c>
      <c r="T47" s="486"/>
      <c r="U47" s="487"/>
      <c r="V47" s="487"/>
      <c r="W47" s="487"/>
      <c r="X47" s="476" t="s">
        <v>1075</v>
      </c>
      <c r="Y47" s="488"/>
      <c r="Z47" s="486"/>
      <c r="AB47" s="405"/>
    </row>
    <row r="48" spans="2:28" ht="18.75" customHeight="1" thickBot="1" thickTop="1">
      <c r="B48" s="489"/>
      <c r="C48" s="490" t="s">
        <v>180</v>
      </c>
      <c r="D48" s="491" t="s">
        <v>1071</v>
      </c>
      <c r="E48" s="492"/>
      <c r="F48" s="492"/>
      <c r="G48" s="492"/>
      <c r="H48" s="493">
        <f>SUM(H46+K40)-(J40)</f>
        <v>5151.299999999997</v>
      </c>
      <c r="I48" s="494"/>
      <c r="J48" s="495" t="s">
        <v>1072</v>
      </c>
      <c r="K48" s="493">
        <f>K46+M40-L40</f>
        <v>63232.73</v>
      </c>
      <c r="M48" s="343" t="s">
        <v>1073</v>
      </c>
      <c r="N48" s="691">
        <f>N46+O40-N40</f>
        <v>77741.76</v>
      </c>
      <c r="P48" s="495" t="s">
        <v>981</v>
      </c>
      <c r="Q48" s="493">
        <f>SUM(Q46+Q40)-(P40)</f>
        <v>987.7600000000004</v>
      </c>
      <c r="R48" s="496"/>
      <c r="S48" s="495" t="s">
        <v>1077</v>
      </c>
      <c r="T48" s="497"/>
      <c r="X48" s="495" t="s">
        <v>898</v>
      </c>
      <c r="Y48" s="498"/>
      <c r="Z48" s="497"/>
      <c r="AB48" s="499"/>
    </row>
    <row r="49" spans="2:28" ht="18.75" customHeight="1" thickTop="1">
      <c r="B49" s="489"/>
      <c r="C49" s="489"/>
      <c r="D49" s="538"/>
      <c r="E49" s="422"/>
      <c r="F49" s="422"/>
      <c r="G49" s="422"/>
      <c r="H49" s="541"/>
      <c r="I49" s="494"/>
      <c r="J49" s="496"/>
      <c r="K49" s="541"/>
      <c r="P49" s="496"/>
      <c r="Q49" s="541"/>
      <c r="R49" s="496"/>
      <c r="S49" s="496"/>
      <c r="T49" s="540"/>
      <c r="X49" s="496"/>
      <c r="Y49" s="498"/>
      <c r="Z49" s="540"/>
      <c r="AB49" s="499"/>
    </row>
    <row r="50" spans="2:28" s="457" customFormat="1" ht="12">
      <c r="B50" s="446" t="s">
        <v>899</v>
      </c>
      <c r="C50" s="500"/>
      <c r="D50" s="501" t="s">
        <v>900</v>
      </c>
      <c r="E50" s="502"/>
      <c r="F50" s="502"/>
      <c r="G50" s="502"/>
      <c r="H50" s="503"/>
      <c r="I50" s="501" t="s">
        <v>901</v>
      </c>
      <c r="J50" s="503"/>
      <c r="K50" s="503"/>
      <c r="L50" s="501" t="s">
        <v>902</v>
      </c>
      <c r="M50" s="501"/>
      <c r="N50" s="501"/>
      <c r="O50" s="501"/>
      <c r="P50" s="503"/>
      <c r="Q50" s="503"/>
      <c r="R50" s="501" t="s">
        <v>903</v>
      </c>
      <c r="S50" s="400"/>
      <c r="T50" s="501" t="s">
        <v>900</v>
      </c>
      <c r="U50" s="400"/>
      <c r="V50" s="400"/>
      <c r="W50" s="400"/>
      <c r="X50" s="501" t="s">
        <v>901</v>
      </c>
      <c r="Y50" s="504"/>
      <c r="Z50" s="503"/>
      <c r="AB50" s="505"/>
    </row>
    <row r="51" spans="2:28" s="457" customFormat="1" ht="12">
      <c r="B51" s="446"/>
      <c r="C51" s="500"/>
      <c r="D51" s="501"/>
      <c r="E51" s="502"/>
      <c r="F51" s="502"/>
      <c r="G51" s="502"/>
      <c r="H51" s="503"/>
      <c r="I51" s="501"/>
      <c r="J51" s="503"/>
      <c r="K51" s="503"/>
      <c r="L51" s="501"/>
      <c r="M51" s="501"/>
      <c r="N51" s="501"/>
      <c r="O51" s="501"/>
      <c r="P51" s="503"/>
      <c r="Q51" s="503"/>
      <c r="R51" s="501"/>
      <c r="S51" s="400"/>
      <c r="T51" s="501"/>
      <c r="U51" s="400"/>
      <c r="V51" s="400"/>
      <c r="W51" s="400"/>
      <c r="X51" s="501"/>
      <c r="Y51" s="504"/>
      <c r="Z51" s="503"/>
      <c r="AB51" s="505"/>
    </row>
    <row r="52" spans="2:28" s="506" customFormat="1" ht="12">
      <c r="B52" s="533" t="s">
        <v>904</v>
      </c>
      <c r="C52" s="507"/>
      <c r="D52" s="506" t="s">
        <v>578</v>
      </c>
      <c r="E52" s="508"/>
      <c r="F52" s="508"/>
      <c r="H52" s="509"/>
      <c r="I52" s="510"/>
      <c r="J52" s="511"/>
      <c r="K52" s="511"/>
      <c r="L52" s="510"/>
      <c r="M52" s="510"/>
      <c r="N52" s="510"/>
      <c r="O52" s="510"/>
      <c r="P52" s="511"/>
      <c r="Q52" s="511"/>
      <c r="R52" s="510" t="s">
        <v>904</v>
      </c>
      <c r="S52" s="400"/>
      <c r="T52" s="511" t="s">
        <v>181</v>
      </c>
      <c r="U52" s="400"/>
      <c r="V52" s="400"/>
      <c r="W52" s="400"/>
      <c r="X52" s="510"/>
      <c r="Y52" s="512"/>
      <c r="Z52" s="509"/>
      <c r="AB52" s="513"/>
    </row>
    <row r="53" spans="2:28" s="506" customFormat="1" ht="30" customHeight="1">
      <c r="B53" s="533"/>
      <c r="C53" s="507"/>
      <c r="E53" s="508"/>
      <c r="F53" s="508"/>
      <c r="H53" s="509"/>
      <c r="I53" s="510"/>
      <c r="J53" s="511"/>
      <c r="K53" s="511"/>
      <c r="L53" s="510"/>
      <c r="M53" s="510"/>
      <c r="N53" s="510"/>
      <c r="O53" s="510"/>
      <c r="P53" s="511"/>
      <c r="Q53" s="511"/>
      <c r="R53" s="510"/>
      <c r="S53" s="400"/>
      <c r="T53" s="511"/>
      <c r="U53" s="400"/>
      <c r="V53" s="400"/>
      <c r="W53" s="400"/>
      <c r="X53" s="510"/>
      <c r="Y53" s="512"/>
      <c r="Z53" s="509"/>
      <c r="AB53" s="513"/>
    </row>
    <row r="54" spans="3:28" ht="18.75" customHeight="1">
      <c r="C54" s="514" t="s">
        <v>906</v>
      </c>
      <c r="D54" s="515"/>
      <c r="E54" s="516"/>
      <c r="F54" s="516"/>
      <c r="G54" s="517"/>
      <c r="H54" s="518">
        <f>H48+K48+N48++Q48</f>
        <v>147113.55</v>
      </c>
      <c r="AB54" s="519"/>
    </row>
    <row r="55" ht="12">
      <c r="J55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X62"/>
  <sheetViews>
    <sheetView zoomScale="125" zoomScaleNormal="125" zoomScalePageLayoutView="0" workbookViewId="0" topLeftCell="D21">
      <selection activeCell="T37" sqref="T37"/>
    </sheetView>
  </sheetViews>
  <sheetFormatPr defaultColWidth="11.7109375" defaultRowHeight="12.75"/>
  <cols>
    <col min="1" max="1" width="11.7109375" style="407" customWidth="1"/>
    <col min="2" max="2" width="18.7109375" style="398" customWidth="1"/>
    <col min="3" max="3" width="4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7" width="12.7109375" style="400" customWidth="1"/>
    <col min="18" max="18" width="10.7109375" style="400" customWidth="1"/>
    <col min="19" max="19" width="12.00390625" style="400" customWidth="1"/>
    <col min="20" max="20" width="10.7109375" style="400" customWidth="1"/>
    <col min="21" max="21" width="13.8515625" style="400" customWidth="1"/>
    <col min="22" max="22" width="10.7109375" style="400" customWidth="1"/>
    <col min="23" max="23" width="12.00390625" style="400" customWidth="1"/>
    <col min="24" max="24" width="10.7109375" style="400" customWidth="1"/>
    <col min="25" max="25" width="12.00390625" style="409" customWidth="1"/>
    <col min="26" max="26" width="12.00390625" style="400" customWidth="1"/>
    <col min="27" max="27" width="10.7109375" style="407" customWidth="1"/>
    <col min="28" max="28" width="11.421875" style="522" customWidth="1"/>
    <col min="29" max="29" width="12.421875" style="407" customWidth="1"/>
    <col min="30" max="31" width="10.7109375" style="407" customWidth="1"/>
    <col min="32" max="32" width="11.421875" style="407" customWidth="1"/>
    <col min="33" max="16384" width="11.7109375" style="407" customWidth="1"/>
  </cols>
  <sheetData>
    <row r="1" spans="2:36" s="397" customFormat="1" ht="16.5" customHeight="1">
      <c r="B1" s="398"/>
      <c r="C1" s="55" t="s">
        <v>942</v>
      </c>
      <c r="D1" s="399"/>
      <c r="H1" s="400" t="s">
        <v>1016</v>
      </c>
      <c r="I1" s="401"/>
      <c r="J1" s="402" t="s">
        <v>182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183</v>
      </c>
      <c r="AB1" s="405"/>
      <c r="AI1" s="406" t="s">
        <v>969</v>
      </c>
      <c r="AJ1" s="406" t="s">
        <v>970</v>
      </c>
    </row>
    <row r="2" spans="2:36" ht="12" customHeight="1" thickBot="1">
      <c r="B2" s="407"/>
      <c r="C2" s="408"/>
      <c r="D2" s="407"/>
      <c r="H2" s="400"/>
      <c r="I2" s="400"/>
      <c r="AB2" s="405"/>
      <c r="AI2" s="410" t="s">
        <v>971</v>
      </c>
      <c r="AJ2" s="411" t="s">
        <v>972</v>
      </c>
    </row>
    <row r="3" spans="3:36" s="412" customFormat="1" ht="18.75" customHeight="1" thickBot="1">
      <c r="C3" s="413"/>
      <c r="D3" s="414"/>
      <c r="E3" s="832" t="s">
        <v>1018</v>
      </c>
      <c r="F3" s="833"/>
      <c r="G3" s="834"/>
      <c r="H3" s="415">
        <f>Sept15!H43</f>
        <v>60580.26999999999</v>
      </c>
      <c r="I3" s="415">
        <f>Sept15!I43</f>
        <v>64761.44000000001</v>
      </c>
      <c r="J3" s="415">
        <f>Sept15!J43</f>
        <v>52437.17</v>
      </c>
      <c r="K3" s="415">
        <f>Sept15!K43</f>
        <v>57588.47</v>
      </c>
      <c r="L3" s="415">
        <f>Sept15!L43</f>
        <v>0</v>
      </c>
      <c r="M3" s="415">
        <f>Sept15!M43</f>
        <v>63232.73</v>
      </c>
      <c r="N3" s="415">
        <f>Sept15!N43</f>
        <v>0</v>
      </c>
      <c r="O3" s="415">
        <f>Sept15!O43</f>
        <v>77741.76</v>
      </c>
      <c r="P3" s="415">
        <f>Sept15!P43</f>
        <v>8143.099999999999</v>
      </c>
      <c r="Q3" s="415">
        <f>Sept15!Q43</f>
        <v>9130.86</v>
      </c>
      <c r="R3" s="415">
        <f>Sept15!R43</f>
        <v>2910.2700000000004</v>
      </c>
      <c r="S3" s="415">
        <f>Sept15!S43</f>
        <v>168.3</v>
      </c>
      <c r="T3" s="415">
        <f>Sept15!T43</f>
        <v>4466.9800000000005</v>
      </c>
      <c r="U3" s="415">
        <f>Sept15!U43</f>
        <v>8445.31</v>
      </c>
      <c r="V3" s="415">
        <f>Sept15!V43</f>
        <v>9183.04</v>
      </c>
      <c r="W3" s="415">
        <f>Sept15!W43</f>
        <v>11540.94</v>
      </c>
      <c r="X3" s="415">
        <f>Sept15!X43</f>
        <v>3865.43</v>
      </c>
      <c r="Y3" s="415">
        <f>Sept15!Y43</f>
        <v>20000</v>
      </c>
      <c r="Z3" s="415">
        <f>Sept15!Z43</f>
        <v>20000</v>
      </c>
      <c r="AA3" s="415">
        <f>Sept15!AA43</f>
        <v>0</v>
      </c>
      <c r="AB3" s="415">
        <f>Sept15!AB43</f>
        <v>34454.45</v>
      </c>
      <c r="AC3" s="415">
        <f>Sept15!AC43</f>
        <v>5253.6</v>
      </c>
      <c r="AD3" s="415">
        <f>Sept15!AD43</f>
        <v>100</v>
      </c>
      <c r="AE3" s="415">
        <f>Sept15!AE43</f>
        <v>1237.54</v>
      </c>
      <c r="AF3" s="415">
        <f>Sept15!AF43</f>
        <v>3715.85</v>
      </c>
      <c r="AI3" s="410" t="s">
        <v>973</v>
      </c>
      <c r="AJ3" s="410" t="s">
        <v>974</v>
      </c>
    </row>
    <row r="4" spans="2:36" s="412" customFormat="1" ht="14.25" customHeight="1" thickBot="1"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70">
        <v>58</v>
      </c>
      <c r="Z4" s="871"/>
      <c r="AA4" s="857" t="s">
        <v>1021</v>
      </c>
      <c r="AB4" s="838"/>
      <c r="AC4" s="838"/>
      <c r="AD4" s="838"/>
      <c r="AE4" s="838"/>
      <c r="AF4" s="839"/>
      <c r="AI4" s="410" t="s">
        <v>979</v>
      </c>
      <c r="AJ4" s="410" t="s">
        <v>980</v>
      </c>
    </row>
    <row r="5" spans="2:36" s="419" customFormat="1" ht="12.75" customHeight="1"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I5" s="410" t="s">
        <v>981</v>
      </c>
      <c r="AJ5" s="410" t="s">
        <v>982</v>
      </c>
    </row>
    <row r="6" spans="2:36" ht="13.5" customHeight="1" thickBot="1">
      <c r="B6" s="425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49"/>
      <c r="Y6" s="426" t="s">
        <v>1027</v>
      </c>
      <c r="Z6" s="426" t="s">
        <v>1027</v>
      </c>
      <c r="AA6" s="842"/>
      <c r="AB6" s="842"/>
      <c r="AC6" s="842"/>
      <c r="AD6" s="842"/>
      <c r="AE6" s="842"/>
      <c r="AF6" s="843"/>
      <c r="AI6" s="410" t="s">
        <v>987</v>
      </c>
      <c r="AJ6" s="410" t="s">
        <v>988</v>
      </c>
    </row>
    <row r="7" spans="1:232" s="62" customFormat="1" ht="22.5" customHeight="1">
      <c r="A7" s="183" t="s">
        <v>1028</v>
      </c>
      <c r="B7" s="56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600" t="s">
        <v>1034</v>
      </c>
      <c r="I7" s="579" t="s">
        <v>1035</v>
      </c>
      <c r="J7" s="600" t="s">
        <v>1036</v>
      </c>
      <c r="K7" s="579" t="s">
        <v>1037</v>
      </c>
      <c r="L7" s="600" t="s">
        <v>1036</v>
      </c>
      <c r="M7" s="579" t="s">
        <v>1037</v>
      </c>
      <c r="N7" s="600" t="s">
        <v>1036</v>
      </c>
      <c r="O7" s="579" t="s">
        <v>1037</v>
      </c>
      <c r="P7" s="600" t="s">
        <v>1036</v>
      </c>
      <c r="Q7" s="579" t="s">
        <v>1037</v>
      </c>
      <c r="R7" s="65" t="s">
        <v>1038</v>
      </c>
      <c r="S7" s="58" t="s">
        <v>580</v>
      </c>
      <c r="T7" s="58" t="s">
        <v>1040</v>
      </c>
      <c r="U7" s="58" t="s">
        <v>581</v>
      </c>
      <c r="V7" s="58" t="s">
        <v>359</v>
      </c>
      <c r="W7" s="58" t="s">
        <v>913</v>
      </c>
      <c r="X7" s="564" t="s">
        <v>1044</v>
      </c>
      <c r="Y7" s="566" t="s">
        <v>1026</v>
      </c>
      <c r="Z7" s="567" t="s">
        <v>1026</v>
      </c>
      <c r="AA7" s="65" t="s">
        <v>360</v>
      </c>
      <c r="AB7" s="58" t="s">
        <v>361</v>
      </c>
      <c r="AC7" s="58" t="s">
        <v>585</v>
      </c>
      <c r="AD7" s="58" t="s">
        <v>586</v>
      </c>
      <c r="AE7" s="58" t="s">
        <v>587</v>
      </c>
      <c r="AF7" s="58" t="s">
        <v>588</v>
      </c>
      <c r="AG7" s="66"/>
      <c r="AH7" s="66"/>
      <c r="AI7" s="410" t="s">
        <v>989</v>
      </c>
      <c r="AJ7" s="410" t="s">
        <v>990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6" ht="18.75" customHeight="1">
      <c r="A8" s="270">
        <v>42285</v>
      </c>
      <c r="B8" s="283" t="s">
        <v>184</v>
      </c>
      <c r="C8" s="286" t="s">
        <v>185</v>
      </c>
      <c r="D8" s="272" t="s">
        <v>744</v>
      </c>
      <c r="E8" s="293"/>
      <c r="F8" s="293" t="s">
        <v>1054</v>
      </c>
      <c r="G8" s="273"/>
      <c r="H8" s="427">
        <f aca="true" t="shared" si="0" ref="H8:H46">J8+L8+N8+P8</f>
        <v>0</v>
      </c>
      <c r="I8" s="685">
        <f aca="true" t="shared" si="1" ref="I8:I46">K8+M8+O8+Q8</f>
        <v>43.6</v>
      </c>
      <c r="J8" s="288"/>
      <c r="K8" s="276"/>
      <c r="L8" s="277"/>
      <c r="M8" s="278"/>
      <c r="N8" s="391"/>
      <c r="O8" s="545"/>
      <c r="P8" s="279"/>
      <c r="Q8" s="280">
        <v>43.6</v>
      </c>
      <c r="R8" s="195"/>
      <c r="S8" s="195"/>
      <c r="T8" s="195"/>
      <c r="U8" s="195"/>
      <c r="V8" s="195"/>
      <c r="W8" s="195"/>
      <c r="X8" s="553"/>
      <c r="Y8" s="568"/>
      <c r="Z8" s="569"/>
      <c r="AA8" s="281"/>
      <c r="AB8" s="282"/>
      <c r="AC8" s="282">
        <v>43.6</v>
      </c>
      <c r="AD8" s="282"/>
      <c r="AE8" s="282"/>
      <c r="AF8" s="282"/>
      <c r="AG8" s="429"/>
      <c r="AI8" s="410" t="s">
        <v>991</v>
      </c>
      <c r="AJ8" s="410" t="s">
        <v>992</v>
      </c>
    </row>
    <row r="9" spans="1:36" ht="18.75" customHeight="1">
      <c r="A9" s="270">
        <v>42297</v>
      </c>
      <c r="B9" s="271" t="s">
        <v>339</v>
      </c>
      <c r="C9" s="271" t="s">
        <v>498</v>
      </c>
      <c r="D9" s="273" t="s">
        <v>186</v>
      </c>
      <c r="E9" s="273"/>
      <c r="F9" s="273" t="s">
        <v>1054</v>
      </c>
      <c r="G9" s="273"/>
      <c r="H9" s="427">
        <f t="shared" si="0"/>
        <v>0</v>
      </c>
      <c r="I9" s="685">
        <f t="shared" si="1"/>
        <v>15</v>
      </c>
      <c r="J9" s="275"/>
      <c r="K9" s="276"/>
      <c r="L9" s="277"/>
      <c r="M9" s="278"/>
      <c r="N9" s="391"/>
      <c r="O9" s="545"/>
      <c r="P9" s="279"/>
      <c r="Q9" s="280">
        <v>15</v>
      </c>
      <c r="R9" s="195"/>
      <c r="S9" s="195"/>
      <c r="T9" s="195"/>
      <c r="U9" s="195"/>
      <c r="V9" s="195"/>
      <c r="W9" s="195"/>
      <c r="X9" s="553"/>
      <c r="Y9" s="568"/>
      <c r="Z9" s="569"/>
      <c r="AA9" s="281"/>
      <c r="AB9" s="282"/>
      <c r="AC9" s="282">
        <v>15</v>
      </c>
      <c r="AD9" s="282"/>
      <c r="AE9" s="282"/>
      <c r="AF9" s="282"/>
      <c r="AG9" s="429"/>
      <c r="AI9" s="410" t="s">
        <v>993</v>
      </c>
      <c r="AJ9" s="430" t="s">
        <v>994</v>
      </c>
    </row>
    <row r="10" spans="1:36" ht="18.75" customHeight="1">
      <c r="A10" s="270">
        <v>42297</v>
      </c>
      <c r="B10" s="526" t="s">
        <v>187</v>
      </c>
      <c r="C10" s="271" t="s">
        <v>498</v>
      </c>
      <c r="D10" s="272" t="s">
        <v>188</v>
      </c>
      <c r="E10" s="273"/>
      <c r="F10" s="273" t="s">
        <v>1054</v>
      </c>
      <c r="G10" s="273"/>
      <c r="H10" s="427">
        <f t="shared" si="0"/>
        <v>0</v>
      </c>
      <c r="I10" s="685">
        <f t="shared" si="1"/>
        <v>15</v>
      </c>
      <c r="J10" s="288"/>
      <c r="K10" s="276"/>
      <c r="L10" s="277"/>
      <c r="M10" s="278"/>
      <c r="N10" s="391"/>
      <c r="O10" s="545"/>
      <c r="P10" s="279"/>
      <c r="Q10" s="280">
        <v>15</v>
      </c>
      <c r="R10" s="195"/>
      <c r="S10" s="195"/>
      <c r="T10" s="195"/>
      <c r="U10" s="195"/>
      <c r="V10" s="195"/>
      <c r="W10" s="195"/>
      <c r="X10" s="553"/>
      <c r="Y10" s="568"/>
      <c r="Z10" s="569"/>
      <c r="AA10" s="281"/>
      <c r="AB10" s="282"/>
      <c r="AC10" s="282">
        <v>15</v>
      </c>
      <c r="AD10" s="282"/>
      <c r="AE10" s="282"/>
      <c r="AF10" s="282"/>
      <c r="AG10" s="429"/>
      <c r="AI10" s="410" t="s">
        <v>995</v>
      </c>
      <c r="AJ10" s="410" t="s">
        <v>996</v>
      </c>
    </row>
    <row r="11" spans="1:36" s="425" customFormat="1" ht="18.75" customHeight="1">
      <c r="A11" s="270">
        <v>42297</v>
      </c>
      <c r="B11" s="431" t="s">
        <v>189</v>
      </c>
      <c r="C11" s="271" t="s">
        <v>498</v>
      </c>
      <c r="D11" s="272" t="s">
        <v>190</v>
      </c>
      <c r="E11" s="273"/>
      <c r="F11" s="273" t="s">
        <v>1054</v>
      </c>
      <c r="G11" s="273"/>
      <c r="H11" s="427">
        <f t="shared" si="0"/>
        <v>0</v>
      </c>
      <c r="I11" s="685">
        <f t="shared" si="1"/>
        <v>10</v>
      </c>
      <c r="J11" s="275"/>
      <c r="K11" s="276"/>
      <c r="L11" s="277"/>
      <c r="M11" s="278"/>
      <c r="N11" s="391"/>
      <c r="O11" s="545"/>
      <c r="P11" s="279"/>
      <c r="Q11" s="280">
        <v>10</v>
      </c>
      <c r="R11" s="195"/>
      <c r="S11" s="195"/>
      <c r="T11" s="195"/>
      <c r="U11" s="195"/>
      <c r="V11" s="195"/>
      <c r="W11" s="195"/>
      <c r="X11" s="553"/>
      <c r="Y11" s="568"/>
      <c r="Z11" s="592"/>
      <c r="AA11" s="281"/>
      <c r="AB11" s="282"/>
      <c r="AC11" s="282">
        <v>10</v>
      </c>
      <c r="AD11" s="282"/>
      <c r="AE11" s="282"/>
      <c r="AF11" s="282"/>
      <c r="AG11" s="531"/>
      <c r="AI11" s="410" t="s">
        <v>997</v>
      </c>
      <c r="AJ11" s="410" t="s">
        <v>998</v>
      </c>
    </row>
    <row r="12" spans="1:36" ht="18.75" customHeight="1">
      <c r="A12" s="270">
        <v>42302</v>
      </c>
      <c r="B12" s="693" t="s">
        <v>191</v>
      </c>
      <c r="C12" s="693" t="s">
        <v>498</v>
      </c>
      <c r="D12" s="297" t="s">
        <v>747</v>
      </c>
      <c r="E12" s="293"/>
      <c r="F12" s="293" t="s">
        <v>1054</v>
      </c>
      <c r="G12" s="273"/>
      <c r="H12" s="427">
        <f t="shared" si="0"/>
        <v>0</v>
      </c>
      <c r="I12" s="685">
        <f t="shared" si="1"/>
        <v>5</v>
      </c>
      <c r="J12" s="288"/>
      <c r="K12" s="276"/>
      <c r="L12" s="277"/>
      <c r="M12" s="278"/>
      <c r="N12" s="391"/>
      <c r="O12" s="545"/>
      <c r="P12" s="279"/>
      <c r="Q12" s="280">
        <v>5</v>
      </c>
      <c r="R12" s="195"/>
      <c r="S12" s="195"/>
      <c r="T12" s="195"/>
      <c r="U12" s="195"/>
      <c r="V12" s="195"/>
      <c r="W12" s="195"/>
      <c r="X12" s="553"/>
      <c r="Y12" s="568"/>
      <c r="Z12" s="569"/>
      <c r="AA12" s="281"/>
      <c r="AB12" s="282"/>
      <c r="AC12" s="282">
        <v>5</v>
      </c>
      <c r="AD12" s="282"/>
      <c r="AE12" s="282"/>
      <c r="AF12" s="282"/>
      <c r="AG12" s="429"/>
      <c r="AI12" s="410" t="s">
        <v>999</v>
      </c>
      <c r="AJ12" s="410" t="s">
        <v>1000</v>
      </c>
    </row>
    <row r="13" spans="1:36" s="425" customFormat="1" ht="18.75" customHeight="1">
      <c r="A13" s="270">
        <v>42302</v>
      </c>
      <c r="B13" s="664" t="s">
        <v>192</v>
      </c>
      <c r="C13" s="286" t="s">
        <v>193</v>
      </c>
      <c r="D13" s="287"/>
      <c r="E13" s="293"/>
      <c r="F13" s="293" t="s">
        <v>1054</v>
      </c>
      <c r="G13" s="273"/>
      <c r="H13" s="427">
        <f t="shared" si="0"/>
        <v>0</v>
      </c>
      <c r="I13" s="685">
        <f t="shared" si="1"/>
        <v>846.8</v>
      </c>
      <c r="J13" s="288"/>
      <c r="K13" s="276"/>
      <c r="L13" s="277"/>
      <c r="M13" s="278"/>
      <c r="N13" s="391"/>
      <c r="O13" s="545"/>
      <c r="P13" s="279"/>
      <c r="Q13" s="280">
        <v>846.8</v>
      </c>
      <c r="R13" s="195"/>
      <c r="S13" s="195"/>
      <c r="T13" s="195"/>
      <c r="U13" s="195"/>
      <c r="V13" s="195"/>
      <c r="W13" s="195"/>
      <c r="X13" s="553"/>
      <c r="Y13" s="568"/>
      <c r="Z13" s="592"/>
      <c r="AA13" s="281"/>
      <c r="AB13" s="282"/>
      <c r="AC13" s="282"/>
      <c r="AD13" s="282"/>
      <c r="AE13" s="282"/>
      <c r="AF13" s="282">
        <v>846.8</v>
      </c>
      <c r="AG13" s="531"/>
      <c r="AI13" s="410" t="s">
        <v>1001</v>
      </c>
      <c r="AJ13" s="410" t="s">
        <v>1002</v>
      </c>
    </row>
    <row r="14" spans="1:36" s="425" customFormat="1" ht="18.75" customHeight="1">
      <c r="A14" s="270">
        <v>42278</v>
      </c>
      <c r="B14" s="752" t="s">
        <v>967</v>
      </c>
      <c r="C14" s="286" t="s">
        <v>194</v>
      </c>
      <c r="D14" s="287" t="s">
        <v>882</v>
      </c>
      <c r="E14" s="293"/>
      <c r="F14" s="293"/>
      <c r="G14" s="273" t="s">
        <v>1054</v>
      </c>
      <c r="H14" s="427">
        <f t="shared" si="0"/>
        <v>55.72</v>
      </c>
      <c r="I14" s="753">
        <f t="shared" si="1"/>
        <v>0</v>
      </c>
      <c r="J14" s="288">
        <v>55.72</v>
      </c>
      <c r="K14" s="276"/>
      <c r="L14" s="277"/>
      <c r="M14" s="278"/>
      <c r="N14" s="391"/>
      <c r="O14" s="545"/>
      <c r="P14" s="279"/>
      <c r="Q14" s="280"/>
      <c r="R14" s="195"/>
      <c r="S14" s="195"/>
      <c r="T14" s="195"/>
      <c r="U14" s="195"/>
      <c r="V14" s="195">
        <v>55.72</v>
      </c>
      <c r="W14" s="195"/>
      <c r="X14" s="553"/>
      <c r="Y14" s="568"/>
      <c r="Z14" s="592"/>
      <c r="AA14" s="281"/>
      <c r="AB14" s="282"/>
      <c r="AC14" s="282"/>
      <c r="AD14" s="282"/>
      <c r="AE14" s="282"/>
      <c r="AF14" s="282"/>
      <c r="AG14" s="531"/>
      <c r="AI14" s="410"/>
      <c r="AJ14" s="410"/>
    </row>
    <row r="15" spans="1:36" s="425" customFormat="1" ht="18.75" customHeight="1">
      <c r="A15" s="270">
        <v>42279</v>
      </c>
      <c r="B15" s="752" t="s">
        <v>1051</v>
      </c>
      <c r="C15" s="286" t="s">
        <v>984</v>
      </c>
      <c r="D15" s="287" t="s">
        <v>882</v>
      </c>
      <c r="E15" s="293"/>
      <c r="F15" s="293"/>
      <c r="G15" s="273" t="s">
        <v>1054</v>
      </c>
      <c r="H15" s="427">
        <f t="shared" si="0"/>
        <v>15.3</v>
      </c>
      <c r="I15" s="685">
        <f t="shared" si="1"/>
        <v>0</v>
      </c>
      <c r="J15" s="288">
        <v>15.3</v>
      </c>
      <c r="K15" s="276"/>
      <c r="L15" s="277"/>
      <c r="M15" s="278"/>
      <c r="N15" s="391"/>
      <c r="O15" s="545"/>
      <c r="P15" s="279"/>
      <c r="Q15" s="280"/>
      <c r="R15" s="195"/>
      <c r="S15" s="195">
        <v>15.3</v>
      </c>
      <c r="T15" s="195"/>
      <c r="U15" s="195"/>
      <c r="V15" s="195"/>
      <c r="W15" s="195"/>
      <c r="X15" s="553"/>
      <c r="Y15" s="568"/>
      <c r="Z15" s="592"/>
      <c r="AA15" s="281"/>
      <c r="AB15" s="282"/>
      <c r="AC15" s="282"/>
      <c r="AD15" s="282"/>
      <c r="AE15" s="282"/>
      <c r="AF15" s="282"/>
      <c r="AG15" s="531"/>
      <c r="AI15" s="410"/>
      <c r="AJ15" s="410"/>
    </row>
    <row r="16" spans="1:36" s="425" customFormat="1" ht="18.75" customHeight="1">
      <c r="A16" s="270">
        <v>42284</v>
      </c>
      <c r="B16" s="752" t="s">
        <v>637</v>
      </c>
      <c r="C16" s="286" t="s">
        <v>195</v>
      </c>
      <c r="D16" s="287" t="s">
        <v>196</v>
      </c>
      <c r="E16" s="293" t="s">
        <v>1054</v>
      </c>
      <c r="F16" s="293"/>
      <c r="G16" s="273"/>
      <c r="H16" s="427">
        <f t="shared" si="0"/>
        <v>51.99</v>
      </c>
      <c r="I16" s="685">
        <f t="shared" si="1"/>
        <v>0</v>
      </c>
      <c r="J16" s="288">
        <v>51.99</v>
      </c>
      <c r="K16" s="276"/>
      <c r="L16" s="277"/>
      <c r="M16" s="278"/>
      <c r="N16" s="391"/>
      <c r="O16" s="545"/>
      <c r="P16" s="279"/>
      <c r="Q16" s="280"/>
      <c r="R16" s="195"/>
      <c r="S16" s="195"/>
      <c r="T16" s="195">
        <v>51.99</v>
      </c>
      <c r="U16" s="195"/>
      <c r="V16" s="195"/>
      <c r="W16" s="195"/>
      <c r="X16" s="553"/>
      <c r="Y16" s="568"/>
      <c r="Z16" s="592"/>
      <c r="AA16" s="281"/>
      <c r="AB16" s="282"/>
      <c r="AC16" s="282"/>
      <c r="AD16" s="282"/>
      <c r="AE16" s="282"/>
      <c r="AF16" s="282"/>
      <c r="AG16" s="531"/>
      <c r="AI16" s="410"/>
      <c r="AJ16" s="410"/>
    </row>
    <row r="17" spans="1:36" s="425" customFormat="1" ht="18.75" customHeight="1">
      <c r="A17" s="270">
        <v>42284</v>
      </c>
      <c r="B17" s="752" t="s">
        <v>637</v>
      </c>
      <c r="C17" s="286" t="s">
        <v>197</v>
      </c>
      <c r="D17" s="287" t="s">
        <v>198</v>
      </c>
      <c r="E17" s="293" t="s">
        <v>1054</v>
      </c>
      <c r="F17" s="293"/>
      <c r="G17" s="273"/>
      <c r="H17" s="427">
        <f t="shared" si="0"/>
        <v>63.15</v>
      </c>
      <c r="I17" s="753">
        <f t="shared" si="1"/>
        <v>0</v>
      </c>
      <c r="J17" s="288">
        <v>63.15</v>
      </c>
      <c r="K17" s="276"/>
      <c r="L17" s="277"/>
      <c r="M17" s="278"/>
      <c r="N17" s="391"/>
      <c r="O17" s="545"/>
      <c r="P17" s="279"/>
      <c r="Q17" s="280"/>
      <c r="R17" s="195"/>
      <c r="S17" s="195"/>
      <c r="T17" s="195">
        <v>63.15</v>
      </c>
      <c r="U17" s="195"/>
      <c r="V17" s="195"/>
      <c r="W17" s="195"/>
      <c r="X17" s="553"/>
      <c r="Y17" s="568"/>
      <c r="Z17" s="592"/>
      <c r="AA17" s="281"/>
      <c r="AB17" s="282"/>
      <c r="AC17" s="282"/>
      <c r="AD17" s="282"/>
      <c r="AE17" s="282"/>
      <c r="AF17" s="282"/>
      <c r="AG17" s="531"/>
      <c r="AI17" s="410"/>
      <c r="AJ17" s="410"/>
    </row>
    <row r="18" spans="1:36" s="425" customFormat="1" ht="18.75" customHeight="1">
      <c r="A18" s="270">
        <v>42284</v>
      </c>
      <c r="B18" s="752" t="s">
        <v>199</v>
      </c>
      <c r="C18" s="286" t="s">
        <v>200</v>
      </c>
      <c r="D18" s="287" t="s">
        <v>882</v>
      </c>
      <c r="E18" s="293"/>
      <c r="F18" s="293"/>
      <c r="G18" s="273" t="s">
        <v>1054</v>
      </c>
      <c r="H18" s="427">
        <f t="shared" si="0"/>
        <v>1183</v>
      </c>
      <c r="I18" s="685">
        <f t="shared" si="1"/>
        <v>0</v>
      </c>
      <c r="J18" s="288">
        <v>1183</v>
      </c>
      <c r="K18" s="276"/>
      <c r="L18" s="277"/>
      <c r="M18" s="278"/>
      <c r="N18" s="391"/>
      <c r="O18" s="545"/>
      <c r="P18" s="279"/>
      <c r="Q18" s="280"/>
      <c r="R18" s="195"/>
      <c r="S18" s="195"/>
      <c r="T18" s="195">
        <v>1183</v>
      </c>
      <c r="U18" s="195"/>
      <c r="V18" s="195"/>
      <c r="W18" s="195"/>
      <c r="X18" s="553"/>
      <c r="Y18" s="568"/>
      <c r="Z18" s="592"/>
      <c r="AA18" s="281"/>
      <c r="AB18" s="282"/>
      <c r="AC18" s="282"/>
      <c r="AD18" s="282"/>
      <c r="AE18" s="282"/>
      <c r="AF18" s="282"/>
      <c r="AG18" s="531"/>
      <c r="AI18" s="410"/>
      <c r="AJ18" s="410"/>
    </row>
    <row r="19" spans="1:36" s="425" customFormat="1" ht="18.75" customHeight="1">
      <c r="A19" s="270">
        <v>42285</v>
      </c>
      <c r="B19" s="752" t="s">
        <v>1055</v>
      </c>
      <c r="C19" s="286" t="s">
        <v>1055</v>
      </c>
      <c r="D19" s="287" t="s">
        <v>882</v>
      </c>
      <c r="E19" s="293"/>
      <c r="F19" s="293"/>
      <c r="G19" s="273" t="s">
        <v>1054</v>
      </c>
      <c r="H19" s="427">
        <f t="shared" si="0"/>
        <v>31.98</v>
      </c>
      <c r="I19" s="685">
        <f t="shared" si="1"/>
        <v>0</v>
      </c>
      <c r="J19" s="288">
        <v>31.98</v>
      </c>
      <c r="K19" s="276"/>
      <c r="L19" s="277"/>
      <c r="M19" s="278"/>
      <c r="N19" s="391"/>
      <c r="O19" s="545"/>
      <c r="P19" s="279"/>
      <c r="Q19" s="280"/>
      <c r="R19" s="195"/>
      <c r="S19" s="195"/>
      <c r="T19" s="195">
        <v>31.98</v>
      </c>
      <c r="U19" s="195"/>
      <c r="V19" s="195"/>
      <c r="W19" s="195"/>
      <c r="X19" s="553"/>
      <c r="Y19" s="568"/>
      <c r="Z19" s="592"/>
      <c r="AA19" s="281"/>
      <c r="AB19" s="282"/>
      <c r="AC19" s="282"/>
      <c r="AD19" s="282"/>
      <c r="AE19" s="282"/>
      <c r="AF19" s="282"/>
      <c r="AG19" s="531"/>
      <c r="AI19" s="410"/>
      <c r="AJ19" s="410"/>
    </row>
    <row r="20" spans="1:36" s="425" customFormat="1" ht="18.75" customHeight="1">
      <c r="A20" s="270">
        <v>42286</v>
      </c>
      <c r="B20" s="752" t="s">
        <v>1055</v>
      </c>
      <c r="C20" s="286" t="s">
        <v>1055</v>
      </c>
      <c r="D20" s="287" t="s">
        <v>882</v>
      </c>
      <c r="E20" s="293"/>
      <c r="F20" s="293"/>
      <c r="G20" s="273"/>
      <c r="H20" s="427">
        <f t="shared" si="0"/>
        <v>6.25</v>
      </c>
      <c r="I20" s="685">
        <f t="shared" si="1"/>
        <v>0</v>
      </c>
      <c r="J20" s="288">
        <v>6.25</v>
      </c>
      <c r="K20" s="276"/>
      <c r="L20" s="277"/>
      <c r="M20" s="278"/>
      <c r="N20" s="391"/>
      <c r="O20" s="545"/>
      <c r="P20" s="279"/>
      <c r="Q20" s="280"/>
      <c r="R20" s="195"/>
      <c r="S20" s="195"/>
      <c r="T20" s="195">
        <v>6.25</v>
      </c>
      <c r="U20" s="195"/>
      <c r="V20" s="195"/>
      <c r="W20" s="195"/>
      <c r="X20" s="553"/>
      <c r="Y20" s="568"/>
      <c r="Z20" s="592"/>
      <c r="AA20" s="281"/>
      <c r="AB20" s="282"/>
      <c r="AC20" s="282"/>
      <c r="AD20" s="282"/>
      <c r="AE20" s="282"/>
      <c r="AF20" s="282"/>
      <c r="AG20" s="531"/>
      <c r="AI20" s="410"/>
      <c r="AJ20" s="410"/>
    </row>
    <row r="21" spans="1:36" s="425" customFormat="1" ht="18.75" customHeight="1">
      <c r="A21" s="270">
        <v>42290</v>
      </c>
      <c r="B21" s="752" t="s">
        <v>1051</v>
      </c>
      <c r="C21" s="286" t="s">
        <v>548</v>
      </c>
      <c r="D21" s="287"/>
      <c r="E21" s="293"/>
      <c r="F21" s="293"/>
      <c r="G21" s="273"/>
      <c r="H21" s="427">
        <f t="shared" si="0"/>
        <v>0</v>
      </c>
      <c r="I21" s="685">
        <f t="shared" si="1"/>
        <v>150.4</v>
      </c>
      <c r="J21" s="288"/>
      <c r="K21" s="276">
        <v>150.4</v>
      </c>
      <c r="L21" s="277"/>
      <c r="M21" s="278"/>
      <c r="N21" s="391"/>
      <c r="O21" s="545"/>
      <c r="P21" s="279"/>
      <c r="Q21" s="280"/>
      <c r="R21" s="195"/>
      <c r="S21" s="195"/>
      <c r="T21" s="195"/>
      <c r="U21" s="195"/>
      <c r="V21" s="195"/>
      <c r="W21" s="195"/>
      <c r="X21" s="553"/>
      <c r="Y21" s="568"/>
      <c r="Z21" s="592"/>
      <c r="AA21" s="281"/>
      <c r="AB21" s="282">
        <v>126</v>
      </c>
      <c r="AC21" s="282">
        <v>24.4</v>
      </c>
      <c r="AD21" s="282"/>
      <c r="AE21" s="282"/>
      <c r="AF21" s="282"/>
      <c r="AG21" s="531"/>
      <c r="AI21" s="410"/>
      <c r="AJ21" s="410"/>
    </row>
    <row r="22" spans="1:36" s="425" customFormat="1" ht="18.75" customHeight="1">
      <c r="A22" s="270">
        <v>42291</v>
      </c>
      <c r="B22" s="752" t="s">
        <v>971</v>
      </c>
      <c r="C22" s="286" t="s">
        <v>201</v>
      </c>
      <c r="D22" s="287" t="s">
        <v>1059</v>
      </c>
      <c r="E22" s="293"/>
      <c r="F22" s="293"/>
      <c r="G22" s="273"/>
      <c r="H22" s="427">
        <f t="shared" si="0"/>
        <v>0</v>
      </c>
      <c r="I22" s="685">
        <f t="shared" si="1"/>
        <v>3158.1</v>
      </c>
      <c r="J22" s="288"/>
      <c r="K22" s="276">
        <v>3158.1</v>
      </c>
      <c r="L22" s="277"/>
      <c r="M22" s="278"/>
      <c r="N22" s="391"/>
      <c r="O22" s="545"/>
      <c r="P22" s="279"/>
      <c r="Q22" s="280"/>
      <c r="R22" s="195"/>
      <c r="S22" s="195"/>
      <c r="T22" s="195"/>
      <c r="U22" s="195"/>
      <c r="V22" s="195"/>
      <c r="W22" s="195"/>
      <c r="X22" s="553"/>
      <c r="Y22" s="568"/>
      <c r="Z22" s="592"/>
      <c r="AA22" s="281"/>
      <c r="AB22" s="282">
        <v>3058.1</v>
      </c>
      <c r="AC22" s="282">
        <v>100</v>
      </c>
      <c r="AD22" s="282"/>
      <c r="AE22" s="282"/>
      <c r="AF22" s="282"/>
      <c r="AG22" s="531"/>
      <c r="AI22" s="410"/>
      <c r="AJ22" s="410"/>
    </row>
    <row r="23" spans="1:36" s="425" customFormat="1" ht="18.75" customHeight="1">
      <c r="A23" s="270">
        <v>42296</v>
      </c>
      <c r="B23" s="752" t="s">
        <v>643</v>
      </c>
      <c r="C23" s="286" t="s">
        <v>202</v>
      </c>
      <c r="D23" s="287" t="s">
        <v>203</v>
      </c>
      <c r="E23" s="293" t="s">
        <v>1054</v>
      </c>
      <c r="F23" s="293"/>
      <c r="G23" s="273"/>
      <c r="H23" s="427">
        <f t="shared" si="0"/>
        <v>35.7</v>
      </c>
      <c r="I23" s="685">
        <f t="shared" si="1"/>
        <v>0</v>
      </c>
      <c r="J23" s="288">
        <v>35.7</v>
      </c>
      <c r="K23" s="276"/>
      <c r="L23" s="277"/>
      <c r="M23" s="278"/>
      <c r="N23" s="391"/>
      <c r="O23" s="545"/>
      <c r="P23" s="279"/>
      <c r="Q23" s="280"/>
      <c r="R23" s="195"/>
      <c r="S23" s="195"/>
      <c r="T23" s="195"/>
      <c r="U23" s="195"/>
      <c r="V23" s="195"/>
      <c r="W23" s="195">
        <v>35.7</v>
      </c>
      <c r="X23" s="553"/>
      <c r="Y23" s="568"/>
      <c r="Z23" s="592"/>
      <c r="AA23" s="281"/>
      <c r="AB23" s="282"/>
      <c r="AC23" s="282"/>
      <c r="AD23" s="282"/>
      <c r="AE23" s="282"/>
      <c r="AF23" s="282"/>
      <c r="AG23" s="531"/>
      <c r="AI23" s="410"/>
      <c r="AJ23" s="410"/>
    </row>
    <row r="24" spans="1:36" s="425" customFormat="1" ht="18.75" customHeight="1">
      <c r="A24" s="270">
        <v>42296</v>
      </c>
      <c r="B24" s="752" t="s">
        <v>989</v>
      </c>
      <c r="C24" s="286" t="s">
        <v>204</v>
      </c>
      <c r="D24" s="287" t="s">
        <v>882</v>
      </c>
      <c r="E24" s="293"/>
      <c r="F24" s="293"/>
      <c r="G24" s="273" t="s">
        <v>1054</v>
      </c>
      <c r="H24" s="427">
        <f t="shared" si="0"/>
        <v>1476.6</v>
      </c>
      <c r="I24" s="685">
        <f t="shared" si="1"/>
        <v>0</v>
      </c>
      <c r="J24" s="288">
        <v>1476.6</v>
      </c>
      <c r="K24" s="276"/>
      <c r="L24" s="277"/>
      <c r="M24" s="278"/>
      <c r="N24" s="391"/>
      <c r="O24" s="545"/>
      <c r="P24" s="279"/>
      <c r="Q24" s="280"/>
      <c r="R24" s="195"/>
      <c r="S24" s="195"/>
      <c r="T24" s="195"/>
      <c r="U24" s="195">
        <v>968.51</v>
      </c>
      <c r="V24" s="195"/>
      <c r="W24" s="195">
        <v>508.09</v>
      </c>
      <c r="X24" s="553"/>
      <c r="Y24" s="568"/>
      <c r="Z24" s="592"/>
      <c r="AA24" s="281"/>
      <c r="AB24" s="282"/>
      <c r="AC24" s="282"/>
      <c r="AD24" s="282"/>
      <c r="AE24" s="282"/>
      <c r="AF24" s="282"/>
      <c r="AG24" s="531"/>
      <c r="AI24" s="410"/>
      <c r="AJ24" s="410"/>
    </row>
    <row r="25" spans="1:36" s="425" customFormat="1" ht="18.75" customHeight="1">
      <c r="A25" s="270">
        <v>42297</v>
      </c>
      <c r="B25" s="289" t="s">
        <v>205</v>
      </c>
      <c r="C25" s="271" t="s">
        <v>206</v>
      </c>
      <c r="D25" s="272" t="s">
        <v>207</v>
      </c>
      <c r="E25" s="273" t="s">
        <v>1054</v>
      </c>
      <c r="F25" s="273"/>
      <c r="G25" s="273"/>
      <c r="H25" s="427">
        <f t="shared" si="0"/>
        <v>49.8</v>
      </c>
      <c r="I25" s="685">
        <f t="shared" si="1"/>
        <v>0</v>
      </c>
      <c r="J25" s="275">
        <v>49.8</v>
      </c>
      <c r="K25" s="276"/>
      <c r="L25" s="277"/>
      <c r="M25" s="278"/>
      <c r="N25" s="391"/>
      <c r="O25" s="545"/>
      <c r="P25" s="279"/>
      <c r="Q25" s="280"/>
      <c r="R25" s="195"/>
      <c r="S25" s="195"/>
      <c r="T25" s="195"/>
      <c r="U25" s="195">
        <v>49.8</v>
      </c>
      <c r="V25" s="195"/>
      <c r="W25" s="195"/>
      <c r="X25" s="553"/>
      <c r="Y25" s="568"/>
      <c r="Z25" s="569"/>
      <c r="AA25" s="281"/>
      <c r="AB25" s="282"/>
      <c r="AC25" s="282"/>
      <c r="AD25" s="282"/>
      <c r="AE25" s="282"/>
      <c r="AF25" s="282"/>
      <c r="AG25" s="531"/>
      <c r="AI25" s="410"/>
      <c r="AJ25" s="410" t="s">
        <v>1003</v>
      </c>
    </row>
    <row r="26" spans="1:36" s="425" customFormat="1" ht="18.75" customHeight="1">
      <c r="A26" s="270">
        <v>42297</v>
      </c>
      <c r="B26" s="283" t="s">
        <v>962</v>
      </c>
      <c r="C26" s="286" t="s">
        <v>208</v>
      </c>
      <c r="D26" s="287" t="s">
        <v>209</v>
      </c>
      <c r="E26" s="273" t="s">
        <v>1054</v>
      </c>
      <c r="F26" s="293"/>
      <c r="G26" s="273"/>
      <c r="H26" s="427">
        <f t="shared" si="0"/>
        <v>111.13</v>
      </c>
      <c r="I26" s="685">
        <f t="shared" si="1"/>
        <v>0</v>
      </c>
      <c r="J26" s="288">
        <v>111.13</v>
      </c>
      <c r="K26" s="276"/>
      <c r="L26" s="277"/>
      <c r="M26" s="278"/>
      <c r="N26" s="391"/>
      <c r="O26" s="545"/>
      <c r="P26" s="279"/>
      <c r="Q26" s="280"/>
      <c r="R26" s="195">
        <v>96.13</v>
      </c>
      <c r="S26" s="195"/>
      <c r="T26" s="195"/>
      <c r="U26" s="195"/>
      <c r="V26" s="195"/>
      <c r="W26" s="195"/>
      <c r="X26" s="553">
        <v>15</v>
      </c>
      <c r="Y26" s="568"/>
      <c r="Z26" s="569"/>
      <c r="AA26" s="281"/>
      <c r="AB26" s="282"/>
      <c r="AC26" s="282"/>
      <c r="AD26" s="282"/>
      <c r="AE26" s="282"/>
      <c r="AF26" s="282"/>
      <c r="AG26" s="531"/>
      <c r="AI26" s="410" t="s">
        <v>736</v>
      </c>
      <c r="AJ26" s="410" t="s">
        <v>737</v>
      </c>
    </row>
    <row r="27" spans="1:36" s="425" customFormat="1" ht="18.75" customHeight="1">
      <c r="A27" s="270">
        <v>42297</v>
      </c>
      <c r="B27" s="283" t="s">
        <v>986</v>
      </c>
      <c r="C27" s="286" t="s">
        <v>210</v>
      </c>
      <c r="D27" s="287" t="s">
        <v>211</v>
      </c>
      <c r="E27" s="293" t="s">
        <v>1054</v>
      </c>
      <c r="F27" s="273"/>
      <c r="G27" s="273"/>
      <c r="H27" s="427">
        <f t="shared" si="0"/>
        <v>145.13</v>
      </c>
      <c r="I27" s="685">
        <f t="shared" si="1"/>
        <v>0</v>
      </c>
      <c r="J27" s="288">
        <v>145.13</v>
      </c>
      <c r="K27" s="276"/>
      <c r="L27" s="277"/>
      <c r="M27" s="278"/>
      <c r="N27" s="391"/>
      <c r="O27" s="545"/>
      <c r="P27" s="279"/>
      <c r="Q27" s="280"/>
      <c r="R27" s="195"/>
      <c r="S27" s="195"/>
      <c r="T27" s="195"/>
      <c r="U27" s="195"/>
      <c r="V27" s="195"/>
      <c r="W27" s="195"/>
      <c r="X27" s="553">
        <v>145.13</v>
      </c>
      <c r="Y27" s="568"/>
      <c r="Z27" s="569"/>
      <c r="AA27" s="281"/>
      <c r="AB27" s="282"/>
      <c r="AC27" s="282"/>
      <c r="AD27" s="282"/>
      <c r="AE27" s="282"/>
      <c r="AF27" s="282"/>
      <c r="AG27" s="531"/>
      <c r="AI27" s="410" t="s">
        <v>741</v>
      </c>
      <c r="AJ27" s="425" t="s">
        <v>742</v>
      </c>
    </row>
    <row r="28" spans="1:36" s="425" customFormat="1" ht="18.75" customHeight="1">
      <c r="A28" s="270">
        <v>42298</v>
      </c>
      <c r="B28" s="283" t="s">
        <v>212</v>
      </c>
      <c r="C28" s="286" t="s">
        <v>213</v>
      </c>
      <c r="D28" s="287" t="s">
        <v>214</v>
      </c>
      <c r="E28" s="273" t="s">
        <v>1054</v>
      </c>
      <c r="F28" s="273"/>
      <c r="G28" s="273"/>
      <c r="H28" s="427">
        <f t="shared" si="0"/>
        <v>37.17</v>
      </c>
      <c r="I28" s="685">
        <f t="shared" si="1"/>
        <v>0</v>
      </c>
      <c r="J28" s="275">
        <v>37.17</v>
      </c>
      <c r="K28" s="276"/>
      <c r="L28" s="277"/>
      <c r="M28" s="278"/>
      <c r="N28" s="391"/>
      <c r="O28" s="545"/>
      <c r="P28" s="279"/>
      <c r="Q28" s="280"/>
      <c r="R28" s="195">
        <v>9.32</v>
      </c>
      <c r="S28" s="195"/>
      <c r="T28" s="195"/>
      <c r="U28" s="195"/>
      <c r="V28" s="195">
        <v>7.1</v>
      </c>
      <c r="W28" s="195"/>
      <c r="X28" s="553">
        <v>20.75</v>
      </c>
      <c r="Y28" s="568"/>
      <c r="Z28" s="569"/>
      <c r="AA28" s="281"/>
      <c r="AB28" s="282"/>
      <c r="AC28" s="282"/>
      <c r="AD28" s="282"/>
      <c r="AE28" s="282"/>
      <c r="AF28" s="282"/>
      <c r="AG28" s="531"/>
      <c r="AI28" s="410"/>
      <c r="AJ28" s="425" t="s">
        <v>745</v>
      </c>
    </row>
    <row r="29" spans="1:36" ht="18.75" customHeight="1">
      <c r="A29" s="270">
        <v>42298</v>
      </c>
      <c r="B29" s="283" t="s">
        <v>555</v>
      </c>
      <c r="C29" s="286" t="s">
        <v>215</v>
      </c>
      <c r="D29" s="297" t="s">
        <v>216</v>
      </c>
      <c r="E29" s="273" t="s">
        <v>1054</v>
      </c>
      <c r="F29" s="273"/>
      <c r="G29" s="273"/>
      <c r="H29" s="427">
        <f t="shared" si="0"/>
        <v>1033.2</v>
      </c>
      <c r="I29" s="685">
        <f t="shared" si="1"/>
        <v>0</v>
      </c>
      <c r="J29" s="288">
        <v>1033.2</v>
      </c>
      <c r="K29" s="276"/>
      <c r="L29" s="277"/>
      <c r="M29" s="278"/>
      <c r="N29" s="391"/>
      <c r="O29" s="545"/>
      <c r="P29" s="279"/>
      <c r="Q29" s="280"/>
      <c r="R29" s="195"/>
      <c r="S29" s="195"/>
      <c r="T29" s="195"/>
      <c r="U29" s="195"/>
      <c r="V29" s="195">
        <v>53.76</v>
      </c>
      <c r="W29" s="195">
        <v>979.44</v>
      </c>
      <c r="X29" s="553"/>
      <c r="Y29" s="568"/>
      <c r="Z29" s="569"/>
      <c r="AA29" s="281"/>
      <c r="AB29" s="282"/>
      <c r="AC29" s="282"/>
      <c r="AD29" s="282"/>
      <c r="AE29" s="282"/>
      <c r="AF29" s="282"/>
      <c r="AG29" s="429"/>
      <c r="AI29" s="410"/>
      <c r="AJ29" s="425" t="s">
        <v>748</v>
      </c>
    </row>
    <row r="30" spans="1:36" ht="18.75" customHeight="1">
      <c r="A30" s="270">
        <v>42298</v>
      </c>
      <c r="B30" s="283" t="s">
        <v>217</v>
      </c>
      <c r="C30" s="286" t="s">
        <v>218</v>
      </c>
      <c r="D30" s="287" t="s">
        <v>219</v>
      </c>
      <c r="E30" s="293" t="s">
        <v>1054</v>
      </c>
      <c r="F30" s="293"/>
      <c r="G30" s="293"/>
      <c r="H30" s="427">
        <f t="shared" si="0"/>
        <v>150</v>
      </c>
      <c r="I30" s="685">
        <f t="shared" si="1"/>
        <v>0</v>
      </c>
      <c r="J30" s="288">
        <v>150</v>
      </c>
      <c r="K30" s="276"/>
      <c r="L30" s="277"/>
      <c r="M30" s="278"/>
      <c r="N30" s="391"/>
      <c r="O30" s="545"/>
      <c r="P30" s="279"/>
      <c r="Q30" s="280"/>
      <c r="R30" s="195"/>
      <c r="S30" s="195"/>
      <c r="T30" s="195"/>
      <c r="U30" s="195"/>
      <c r="V30" s="195"/>
      <c r="W30" s="195">
        <v>150</v>
      </c>
      <c r="X30" s="553"/>
      <c r="Y30" s="568"/>
      <c r="Z30" s="569"/>
      <c r="AA30" s="281"/>
      <c r="AB30" s="282"/>
      <c r="AC30" s="282"/>
      <c r="AD30" s="282"/>
      <c r="AE30" s="282"/>
      <c r="AF30" s="282"/>
      <c r="AG30" s="429"/>
      <c r="AI30" s="410"/>
      <c r="AJ30" s="425" t="s">
        <v>685</v>
      </c>
    </row>
    <row r="31" spans="1:35" ht="18.75" customHeight="1">
      <c r="A31" s="270">
        <v>42299</v>
      </c>
      <c r="B31" s="283" t="s">
        <v>818</v>
      </c>
      <c r="C31" s="286" t="s">
        <v>220</v>
      </c>
      <c r="D31" s="272" t="s">
        <v>221</v>
      </c>
      <c r="E31" s="293" t="s">
        <v>1054</v>
      </c>
      <c r="F31" s="293"/>
      <c r="G31" s="293"/>
      <c r="H31" s="427">
        <f t="shared" si="0"/>
        <v>59.99</v>
      </c>
      <c r="I31" s="685">
        <f t="shared" si="1"/>
        <v>0</v>
      </c>
      <c r="J31" s="275">
        <v>59.99</v>
      </c>
      <c r="K31" s="276"/>
      <c r="L31" s="277"/>
      <c r="M31" s="278"/>
      <c r="N31" s="391"/>
      <c r="O31" s="545"/>
      <c r="P31" s="279"/>
      <c r="Q31" s="280"/>
      <c r="R31" s="195">
        <v>59.99</v>
      </c>
      <c r="S31" s="195"/>
      <c r="T31" s="195"/>
      <c r="U31" s="195"/>
      <c r="V31" s="195"/>
      <c r="W31" s="195"/>
      <c r="X31" s="553"/>
      <c r="Y31" s="568"/>
      <c r="Z31" s="569"/>
      <c r="AA31" s="281"/>
      <c r="AB31" s="282"/>
      <c r="AC31" s="282"/>
      <c r="AD31" s="282"/>
      <c r="AE31" s="282"/>
      <c r="AF31" s="282"/>
      <c r="AG31" s="429"/>
      <c r="AI31" s="410"/>
    </row>
    <row r="32" spans="1:35" ht="18.75" customHeight="1">
      <c r="A32" s="270">
        <v>42303</v>
      </c>
      <c r="B32" s="605" t="s">
        <v>222</v>
      </c>
      <c r="C32" s="286" t="s">
        <v>223</v>
      </c>
      <c r="D32" s="272" t="s">
        <v>224</v>
      </c>
      <c r="E32" s="293" t="s">
        <v>1054</v>
      </c>
      <c r="F32" s="293"/>
      <c r="G32" s="293"/>
      <c r="H32" s="427">
        <f t="shared" si="0"/>
        <v>297.83</v>
      </c>
      <c r="I32" s="685">
        <f t="shared" si="1"/>
        <v>0</v>
      </c>
      <c r="J32" s="275">
        <v>297.83</v>
      </c>
      <c r="K32" s="276"/>
      <c r="L32" s="277"/>
      <c r="M32" s="278"/>
      <c r="N32" s="649"/>
      <c r="O32" s="688"/>
      <c r="P32" s="279"/>
      <c r="Q32" s="280"/>
      <c r="R32" s="195"/>
      <c r="S32" s="195"/>
      <c r="T32" s="195"/>
      <c r="U32" s="195"/>
      <c r="V32" s="195"/>
      <c r="W32" s="195">
        <v>297.83</v>
      </c>
      <c r="X32" s="553"/>
      <c r="Y32" s="657"/>
      <c r="Z32" s="658"/>
      <c r="AA32" s="281"/>
      <c r="AB32" s="282"/>
      <c r="AC32" s="282"/>
      <c r="AD32" s="282"/>
      <c r="AE32" s="282"/>
      <c r="AF32" s="282"/>
      <c r="AG32" s="429"/>
      <c r="AI32" s="410"/>
    </row>
    <row r="33" spans="1:35" ht="18.75" customHeight="1">
      <c r="A33" s="270">
        <v>42305</v>
      </c>
      <c r="B33" s="605" t="s">
        <v>225</v>
      </c>
      <c r="C33" s="286" t="s">
        <v>226</v>
      </c>
      <c r="D33" s="272" t="s">
        <v>227</v>
      </c>
      <c r="E33" s="293" t="s">
        <v>1054</v>
      </c>
      <c r="F33" s="293"/>
      <c r="G33" s="293"/>
      <c r="H33" s="427">
        <f t="shared" si="0"/>
        <v>5</v>
      </c>
      <c r="I33" s="685">
        <f t="shared" si="1"/>
        <v>0</v>
      </c>
      <c r="J33" s="275">
        <v>5</v>
      </c>
      <c r="K33" s="276"/>
      <c r="L33" s="277"/>
      <c r="M33" s="278"/>
      <c r="N33" s="649"/>
      <c r="O33" s="688"/>
      <c r="P33" s="279"/>
      <c r="Q33" s="280"/>
      <c r="R33" s="195"/>
      <c r="S33" s="195"/>
      <c r="T33" s="195"/>
      <c r="U33" s="195"/>
      <c r="V33" s="195"/>
      <c r="W33" s="195"/>
      <c r="X33" s="553">
        <v>5</v>
      </c>
      <c r="Y33" s="657"/>
      <c r="Z33" s="658"/>
      <c r="AA33" s="281"/>
      <c r="AB33" s="282"/>
      <c r="AC33" s="282"/>
      <c r="AD33" s="282"/>
      <c r="AE33" s="282"/>
      <c r="AF33" s="282"/>
      <c r="AG33" s="429"/>
      <c r="AI33" s="410"/>
    </row>
    <row r="34" spans="1:35" ht="18.75" customHeight="1">
      <c r="A34" s="270">
        <v>42305</v>
      </c>
      <c r="B34" s="283" t="s">
        <v>891</v>
      </c>
      <c r="C34" s="286" t="s">
        <v>228</v>
      </c>
      <c r="D34" s="272" t="s">
        <v>229</v>
      </c>
      <c r="E34" s="293" t="s">
        <v>1054</v>
      </c>
      <c r="F34" s="293"/>
      <c r="G34" s="293"/>
      <c r="H34" s="427">
        <f t="shared" si="0"/>
        <v>116.75</v>
      </c>
      <c r="I34" s="685">
        <f t="shared" si="1"/>
        <v>0</v>
      </c>
      <c r="J34" s="275">
        <v>116.75</v>
      </c>
      <c r="K34" s="276"/>
      <c r="L34" s="277"/>
      <c r="M34" s="278"/>
      <c r="N34" s="649"/>
      <c r="O34" s="688"/>
      <c r="P34" s="279"/>
      <c r="Q34" s="280"/>
      <c r="R34" s="195"/>
      <c r="S34" s="195"/>
      <c r="T34" s="195">
        <v>50.85</v>
      </c>
      <c r="U34" s="195"/>
      <c r="V34" s="195">
        <v>65.9</v>
      </c>
      <c r="W34" s="195"/>
      <c r="X34" s="553"/>
      <c r="Y34" s="657"/>
      <c r="Z34" s="658"/>
      <c r="AA34" s="281"/>
      <c r="AB34" s="282"/>
      <c r="AC34" s="282"/>
      <c r="AD34" s="282"/>
      <c r="AE34" s="282"/>
      <c r="AF34" s="282"/>
      <c r="AG34" s="429"/>
      <c r="AI34" s="410"/>
    </row>
    <row r="35" spans="1:35" ht="18.75" customHeight="1">
      <c r="A35" s="270">
        <v>42306</v>
      </c>
      <c r="B35" s="283" t="s">
        <v>230</v>
      </c>
      <c r="C35" s="286" t="s">
        <v>231</v>
      </c>
      <c r="D35" s="272" t="s">
        <v>232</v>
      </c>
      <c r="E35" s="293" t="s">
        <v>1054</v>
      </c>
      <c r="F35" s="293"/>
      <c r="G35" s="293"/>
      <c r="H35" s="427">
        <f t="shared" si="0"/>
        <v>19.44</v>
      </c>
      <c r="I35" s="685">
        <f t="shared" si="1"/>
        <v>0</v>
      </c>
      <c r="J35" s="275">
        <v>19.44</v>
      </c>
      <c r="K35" s="276"/>
      <c r="L35" s="277"/>
      <c r="M35" s="278"/>
      <c r="N35" s="649"/>
      <c r="O35" s="688"/>
      <c r="P35" s="279"/>
      <c r="Q35" s="280"/>
      <c r="R35" s="195">
        <v>19.44</v>
      </c>
      <c r="S35" s="195"/>
      <c r="T35" s="195"/>
      <c r="U35" s="195"/>
      <c r="V35" s="195"/>
      <c r="W35" s="195"/>
      <c r="X35" s="553"/>
      <c r="Y35" s="657"/>
      <c r="Z35" s="658"/>
      <c r="AA35" s="281"/>
      <c r="AB35" s="282"/>
      <c r="AC35" s="282"/>
      <c r="AD35" s="282"/>
      <c r="AE35" s="282"/>
      <c r="AF35" s="282"/>
      <c r="AG35" s="429"/>
      <c r="AI35" s="410"/>
    </row>
    <row r="36" spans="1:35" ht="18.75" customHeight="1">
      <c r="A36" s="754">
        <v>42307</v>
      </c>
      <c r="B36" s="283" t="s">
        <v>933</v>
      </c>
      <c r="C36" s="286" t="s">
        <v>842</v>
      </c>
      <c r="D36" s="272" t="s">
        <v>233</v>
      </c>
      <c r="E36" s="293" t="s">
        <v>1054</v>
      </c>
      <c r="F36" s="293"/>
      <c r="G36" s="293"/>
      <c r="H36" s="427">
        <f t="shared" si="0"/>
        <v>39.32</v>
      </c>
      <c r="I36" s="685">
        <f t="shared" si="1"/>
        <v>0</v>
      </c>
      <c r="J36" s="275">
        <v>39.32</v>
      </c>
      <c r="K36" s="276"/>
      <c r="L36" s="277"/>
      <c r="M36" s="278"/>
      <c r="N36" s="649"/>
      <c r="O36" s="688"/>
      <c r="P36" s="279"/>
      <c r="Q36" s="280"/>
      <c r="R36" s="195">
        <v>39.32</v>
      </c>
      <c r="S36" s="195"/>
      <c r="T36" s="195"/>
      <c r="U36" s="195"/>
      <c r="V36" s="195"/>
      <c r="W36" s="195"/>
      <c r="X36" s="553"/>
      <c r="Y36" s="657"/>
      <c r="Z36" s="658"/>
      <c r="AA36" s="281"/>
      <c r="AB36" s="282"/>
      <c r="AC36" s="282"/>
      <c r="AD36" s="282"/>
      <c r="AE36" s="282"/>
      <c r="AF36" s="282"/>
      <c r="AG36" s="429"/>
      <c r="AI36" s="410"/>
    </row>
    <row r="37" spans="1:35" ht="18.75" customHeight="1">
      <c r="A37" s="270">
        <v>42307</v>
      </c>
      <c r="B37" s="283" t="s">
        <v>234</v>
      </c>
      <c r="C37" s="286" t="s">
        <v>235</v>
      </c>
      <c r="D37" s="272" t="s">
        <v>236</v>
      </c>
      <c r="E37" s="293" t="s">
        <v>1054</v>
      </c>
      <c r="F37" s="293"/>
      <c r="G37" s="293"/>
      <c r="H37" s="427">
        <f t="shared" si="0"/>
        <v>46.83</v>
      </c>
      <c r="I37" s="685">
        <f t="shared" si="1"/>
        <v>0</v>
      </c>
      <c r="J37" s="275">
        <v>46.83</v>
      </c>
      <c r="K37" s="276"/>
      <c r="L37" s="277"/>
      <c r="M37" s="278"/>
      <c r="N37" s="649"/>
      <c r="O37" s="688"/>
      <c r="P37" s="279"/>
      <c r="Q37" s="280"/>
      <c r="R37" s="195">
        <v>46.83</v>
      </c>
      <c r="S37" s="195"/>
      <c r="T37" s="647"/>
      <c r="U37" s="195"/>
      <c r="V37" s="195"/>
      <c r="W37" s="195"/>
      <c r="X37" s="553"/>
      <c r="Y37" s="657"/>
      <c r="Z37" s="658"/>
      <c r="AA37" s="281"/>
      <c r="AB37" s="282"/>
      <c r="AC37" s="282"/>
      <c r="AD37" s="282"/>
      <c r="AE37" s="282"/>
      <c r="AF37" s="282"/>
      <c r="AG37" s="429"/>
      <c r="AI37" s="410"/>
    </row>
    <row r="38" spans="1:35" ht="18.75" customHeight="1">
      <c r="A38" s="270">
        <v>42307</v>
      </c>
      <c r="B38" s="283" t="s">
        <v>833</v>
      </c>
      <c r="C38" s="286" t="s">
        <v>237</v>
      </c>
      <c r="D38" s="272" t="s">
        <v>238</v>
      </c>
      <c r="E38" s="293" t="s">
        <v>1054</v>
      </c>
      <c r="F38" s="293"/>
      <c r="G38" s="293"/>
      <c r="H38" s="427">
        <f t="shared" si="0"/>
        <v>120</v>
      </c>
      <c r="I38" s="685">
        <f t="shared" si="1"/>
        <v>0</v>
      </c>
      <c r="J38" s="275">
        <v>120</v>
      </c>
      <c r="K38" s="276"/>
      <c r="L38" s="277"/>
      <c r="M38" s="278"/>
      <c r="N38" s="649"/>
      <c r="O38" s="688"/>
      <c r="P38" s="279"/>
      <c r="Q38" s="280"/>
      <c r="R38" s="195"/>
      <c r="S38" s="195"/>
      <c r="T38" s="195"/>
      <c r="U38" s="195"/>
      <c r="V38" s="195">
        <v>120</v>
      </c>
      <c r="W38" s="195"/>
      <c r="X38" s="553"/>
      <c r="Y38" s="657"/>
      <c r="Z38" s="658"/>
      <c r="AA38" s="281"/>
      <c r="AB38" s="282"/>
      <c r="AC38" s="282"/>
      <c r="AD38" s="282"/>
      <c r="AE38" s="282"/>
      <c r="AF38" s="282"/>
      <c r="AG38" s="429"/>
      <c r="AI38" s="410"/>
    </row>
    <row r="39" spans="1:35" ht="18.75" customHeight="1">
      <c r="A39" s="270">
        <v>42307</v>
      </c>
      <c r="B39" s="283" t="s">
        <v>69</v>
      </c>
      <c r="C39" s="286" t="s">
        <v>70</v>
      </c>
      <c r="D39" s="272"/>
      <c r="E39" s="293"/>
      <c r="F39" s="293"/>
      <c r="G39" s="293"/>
      <c r="H39" s="427">
        <f aca="true" t="shared" si="2" ref="H39:I45">J39+L39+N39+P39</f>
        <v>0</v>
      </c>
      <c r="I39" s="685">
        <f t="shared" si="2"/>
        <v>39.6</v>
      </c>
      <c r="J39" s="275"/>
      <c r="K39" s="276">
        <v>39.6</v>
      </c>
      <c r="L39" s="277"/>
      <c r="M39" s="278"/>
      <c r="N39" s="649"/>
      <c r="O39" s="688"/>
      <c r="P39" s="279"/>
      <c r="Q39" s="280"/>
      <c r="R39" s="195"/>
      <c r="S39" s="195"/>
      <c r="T39" s="195"/>
      <c r="U39" s="195"/>
      <c r="V39" s="195"/>
      <c r="W39" s="195"/>
      <c r="X39" s="553"/>
      <c r="Y39" s="657"/>
      <c r="Z39" s="658"/>
      <c r="AA39" s="281"/>
      <c r="AB39" s="282"/>
      <c r="AC39" s="282"/>
      <c r="AD39" s="282"/>
      <c r="AE39" s="282"/>
      <c r="AF39" s="282">
        <v>39.6</v>
      </c>
      <c r="AG39" s="429"/>
      <c r="AI39" s="410"/>
    </row>
    <row r="40" spans="1:35" ht="18.75" customHeight="1">
      <c r="A40" s="270">
        <v>42307</v>
      </c>
      <c r="B40" s="283" t="s">
        <v>71</v>
      </c>
      <c r="C40" s="286" t="s">
        <v>72</v>
      </c>
      <c r="D40" s="272" t="s">
        <v>73</v>
      </c>
      <c r="E40" s="293" t="s">
        <v>1054</v>
      </c>
      <c r="F40" s="293"/>
      <c r="G40" s="293"/>
      <c r="H40" s="427">
        <f t="shared" si="2"/>
        <v>200.51</v>
      </c>
      <c r="I40" s="685">
        <f t="shared" si="2"/>
        <v>0</v>
      </c>
      <c r="J40" s="275">
        <v>200.51</v>
      </c>
      <c r="K40" s="276"/>
      <c r="L40" s="277"/>
      <c r="M40" s="278"/>
      <c r="N40" s="649"/>
      <c r="O40" s="688"/>
      <c r="P40" s="279"/>
      <c r="Q40" s="280"/>
      <c r="R40" s="195"/>
      <c r="S40" s="195"/>
      <c r="T40" s="195"/>
      <c r="U40" s="195"/>
      <c r="V40" s="195">
        <v>200.51</v>
      </c>
      <c r="W40" s="195"/>
      <c r="X40" s="553"/>
      <c r="Y40" s="657"/>
      <c r="Z40" s="658"/>
      <c r="AA40" s="281"/>
      <c r="AB40" s="282"/>
      <c r="AC40" s="282"/>
      <c r="AD40" s="282"/>
      <c r="AE40" s="282"/>
      <c r="AF40" s="282"/>
      <c r="AG40" s="429"/>
      <c r="AI40" s="410"/>
    </row>
    <row r="41" spans="1:35" ht="18.75" customHeight="1">
      <c r="A41" s="270">
        <v>42307</v>
      </c>
      <c r="B41" s="283" t="s">
        <v>643</v>
      </c>
      <c r="C41" s="286" t="s">
        <v>74</v>
      </c>
      <c r="D41" s="272" t="s">
        <v>75</v>
      </c>
      <c r="E41" s="293" t="s">
        <v>1054</v>
      </c>
      <c r="F41" s="293"/>
      <c r="G41" s="293"/>
      <c r="H41" s="427">
        <f t="shared" si="2"/>
        <v>29.26</v>
      </c>
      <c r="I41" s="685">
        <f t="shared" si="2"/>
        <v>0</v>
      </c>
      <c r="J41" s="275">
        <v>29.26</v>
      </c>
      <c r="K41" s="276"/>
      <c r="L41" s="277"/>
      <c r="M41" s="278"/>
      <c r="N41" s="649"/>
      <c r="O41" s="688"/>
      <c r="P41" s="279"/>
      <c r="Q41" s="280"/>
      <c r="R41" s="195"/>
      <c r="S41" s="195"/>
      <c r="T41" s="195"/>
      <c r="U41" s="195"/>
      <c r="V41" s="195"/>
      <c r="W41" s="195">
        <v>29.26</v>
      </c>
      <c r="X41" s="553"/>
      <c r="Y41" s="657"/>
      <c r="Z41" s="658"/>
      <c r="AA41" s="281"/>
      <c r="AB41" s="282"/>
      <c r="AC41" s="282"/>
      <c r="AD41" s="282"/>
      <c r="AE41" s="282"/>
      <c r="AF41" s="282"/>
      <c r="AG41" s="429"/>
      <c r="AI41" s="410"/>
    </row>
    <row r="42" spans="1:35" ht="18.75" customHeight="1">
      <c r="A42" s="270">
        <v>42307</v>
      </c>
      <c r="B42" s="283" t="s">
        <v>76</v>
      </c>
      <c r="C42" s="286" t="s">
        <v>246</v>
      </c>
      <c r="D42" s="272" t="s">
        <v>882</v>
      </c>
      <c r="E42" s="293"/>
      <c r="F42" s="293"/>
      <c r="G42" s="293" t="s">
        <v>1054</v>
      </c>
      <c r="H42" s="427">
        <f t="shared" si="2"/>
        <v>905.75</v>
      </c>
      <c r="I42" s="685">
        <f t="shared" si="2"/>
        <v>0</v>
      </c>
      <c r="J42" s="275">
        <v>905.75</v>
      </c>
      <c r="K42" s="276"/>
      <c r="L42" s="277"/>
      <c r="M42" s="278"/>
      <c r="N42" s="649"/>
      <c r="O42" s="688"/>
      <c r="P42" s="279"/>
      <c r="Q42" s="280"/>
      <c r="R42" s="195"/>
      <c r="S42" s="195"/>
      <c r="T42" s="195"/>
      <c r="U42" s="195"/>
      <c r="V42" s="195"/>
      <c r="W42" s="195">
        <v>905.75</v>
      </c>
      <c r="X42" s="553"/>
      <c r="Y42" s="657"/>
      <c r="Z42" s="658"/>
      <c r="AA42" s="281"/>
      <c r="AB42" s="282"/>
      <c r="AC42" s="282"/>
      <c r="AD42" s="282"/>
      <c r="AE42" s="282"/>
      <c r="AF42" s="282"/>
      <c r="AG42" s="429"/>
      <c r="AI42" s="410"/>
    </row>
    <row r="43" spans="1:35" ht="18.75" customHeight="1">
      <c r="A43" s="270">
        <v>42307</v>
      </c>
      <c r="B43" s="283" t="s">
        <v>1051</v>
      </c>
      <c r="C43" s="286" t="s">
        <v>247</v>
      </c>
      <c r="D43" s="272"/>
      <c r="E43" s="293"/>
      <c r="F43" s="293"/>
      <c r="G43" s="293"/>
      <c r="H43" s="427">
        <f t="shared" si="2"/>
        <v>0</v>
      </c>
      <c r="I43" s="685">
        <f t="shared" si="2"/>
        <v>1770</v>
      </c>
      <c r="J43" s="275"/>
      <c r="K43" s="276">
        <v>1770</v>
      </c>
      <c r="L43" s="277"/>
      <c r="M43" s="278"/>
      <c r="N43" s="649"/>
      <c r="O43" s="688"/>
      <c r="P43" s="279"/>
      <c r="Q43" s="280"/>
      <c r="R43" s="195"/>
      <c r="S43" s="195"/>
      <c r="T43" s="195"/>
      <c r="U43" s="195"/>
      <c r="V43" s="195"/>
      <c r="W43" s="195"/>
      <c r="X43" s="553"/>
      <c r="Y43" s="657"/>
      <c r="Z43" s="658">
        <v>1770</v>
      </c>
      <c r="AA43" s="281"/>
      <c r="AB43" s="282"/>
      <c r="AC43" s="282"/>
      <c r="AD43" s="282"/>
      <c r="AE43" s="282"/>
      <c r="AF43" s="282"/>
      <c r="AG43" s="429"/>
      <c r="AI43" s="410"/>
    </row>
    <row r="44" spans="1:35" ht="18.75" customHeight="1">
      <c r="A44" s="270">
        <v>42307</v>
      </c>
      <c r="B44" s="283" t="s">
        <v>1051</v>
      </c>
      <c r="C44" s="286" t="s">
        <v>247</v>
      </c>
      <c r="D44" s="272"/>
      <c r="E44" s="293"/>
      <c r="F44" s="293"/>
      <c r="G44" s="293"/>
      <c r="H44" s="427">
        <f t="shared" si="2"/>
        <v>1770</v>
      </c>
      <c r="I44" s="685">
        <f t="shared" si="2"/>
        <v>0</v>
      </c>
      <c r="J44" s="275"/>
      <c r="K44" s="276"/>
      <c r="L44" s="277"/>
      <c r="M44" s="278"/>
      <c r="N44" s="649"/>
      <c r="O44" s="688"/>
      <c r="P44" s="279">
        <v>1770</v>
      </c>
      <c r="Q44" s="280"/>
      <c r="R44" s="195"/>
      <c r="S44" s="195"/>
      <c r="T44" s="195"/>
      <c r="U44" s="195"/>
      <c r="V44" s="195"/>
      <c r="W44" s="195"/>
      <c r="X44" s="553"/>
      <c r="Y44" s="657">
        <v>1770</v>
      </c>
      <c r="Z44" s="658"/>
      <c r="AA44" s="281"/>
      <c r="AB44" s="282"/>
      <c r="AC44" s="282"/>
      <c r="AD44" s="282"/>
      <c r="AE44" s="282"/>
      <c r="AF44" s="282"/>
      <c r="AG44" s="429"/>
      <c r="AI44" s="410"/>
    </row>
    <row r="45" spans="1:35" ht="18.75" customHeight="1">
      <c r="A45" s="270"/>
      <c r="B45" s="283"/>
      <c r="C45" s="286"/>
      <c r="D45" s="272"/>
      <c r="E45" s="293"/>
      <c r="F45" s="293"/>
      <c r="G45" s="293"/>
      <c r="H45" s="427">
        <f t="shared" si="2"/>
        <v>0</v>
      </c>
      <c r="I45" s="685">
        <f t="shared" si="2"/>
        <v>0</v>
      </c>
      <c r="J45" s="275"/>
      <c r="K45" s="276"/>
      <c r="L45" s="277"/>
      <c r="M45" s="278"/>
      <c r="N45" s="649"/>
      <c r="O45" s="688"/>
      <c r="P45" s="279"/>
      <c r="Q45" s="280"/>
      <c r="R45" s="195"/>
      <c r="S45" s="195"/>
      <c r="T45" s="195"/>
      <c r="U45" s="195"/>
      <c r="V45" s="195"/>
      <c r="W45" s="195"/>
      <c r="X45" s="553"/>
      <c r="Y45" s="657"/>
      <c r="Z45" s="658"/>
      <c r="AA45" s="281"/>
      <c r="AB45" s="282"/>
      <c r="AC45" s="282"/>
      <c r="AD45" s="282"/>
      <c r="AE45" s="282"/>
      <c r="AF45" s="282"/>
      <c r="AG45" s="429"/>
      <c r="AI45" s="410"/>
    </row>
    <row r="46" spans="1:35" ht="18.75" customHeight="1" thickBot="1">
      <c r="A46" s="607"/>
      <c r="B46" s="283"/>
      <c r="C46" s="431"/>
      <c r="D46" s="272"/>
      <c r="E46" s="293"/>
      <c r="F46" s="293"/>
      <c r="G46" s="293"/>
      <c r="H46" s="427">
        <f t="shared" si="0"/>
        <v>0</v>
      </c>
      <c r="I46" s="685">
        <f t="shared" si="1"/>
        <v>0</v>
      </c>
      <c r="J46" s="275"/>
      <c r="K46" s="276"/>
      <c r="L46" s="277"/>
      <c r="M46" s="278"/>
      <c r="N46" s="524"/>
      <c r="O46" s="546"/>
      <c r="P46" s="279"/>
      <c r="Q46" s="280"/>
      <c r="R46" s="195"/>
      <c r="S46" s="195"/>
      <c r="T46" s="195"/>
      <c r="U46" s="195"/>
      <c r="V46" s="195"/>
      <c r="W46" s="195"/>
      <c r="X46" s="553"/>
      <c r="Y46" s="571"/>
      <c r="Z46" s="572"/>
      <c r="AA46" s="281"/>
      <c r="AB46" s="282"/>
      <c r="AC46" s="282"/>
      <c r="AD46" s="282"/>
      <c r="AE46" s="282"/>
      <c r="AF46" s="282"/>
      <c r="AG46" s="429"/>
      <c r="AI46" s="410"/>
    </row>
    <row r="47" spans="1:32" ht="18.75" customHeight="1" thickBot="1">
      <c r="A47" s="682"/>
      <c r="B47" s="435"/>
      <c r="C47" s="435" t="s">
        <v>248</v>
      </c>
      <c r="D47" s="436"/>
      <c r="E47" s="437"/>
      <c r="F47" s="437"/>
      <c r="G47" s="437"/>
      <c r="H47" s="438">
        <f aca="true" t="shared" si="3" ref="H47:AF47">SUM(H8:H46)</f>
        <v>8056.8</v>
      </c>
      <c r="I47" s="439">
        <f t="shared" si="3"/>
        <v>6053.5</v>
      </c>
      <c r="J47" s="440">
        <f t="shared" si="3"/>
        <v>6286.8</v>
      </c>
      <c r="K47" s="440">
        <f t="shared" si="3"/>
        <v>5118.1</v>
      </c>
      <c r="L47" s="440">
        <f t="shared" si="3"/>
        <v>0</v>
      </c>
      <c r="M47" s="440">
        <f t="shared" si="3"/>
        <v>0</v>
      </c>
      <c r="N47" s="440">
        <f t="shared" si="3"/>
        <v>0</v>
      </c>
      <c r="O47" s="440">
        <f t="shared" si="3"/>
        <v>0</v>
      </c>
      <c r="P47" s="440">
        <f t="shared" si="3"/>
        <v>1770</v>
      </c>
      <c r="Q47" s="440">
        <f t="shared" si="3"/>
        <v>935.4</v>
      </c>
      <c r="R47" s="440">
        <f t="shared" si="3"/>
        <v>271.03</v>
      </c>
      <c r="S47" s="440">
        <f t="shared" si="3"/>
        <v>15.3</v>
      </c>
      <c r="T47" s="440">
        <f>SUM(T8:T46)</f>
        <v>1387.22</v>
      </c>
      <c r="U47" s="440">
        <f t="shared" si="3"/>
        <v>1018.31</v>
      </c>
      <c r="V47" s="440">
        <f t="shared" si="3"/>
        <v>502.99</v>
      </c>
      <c r="W47" s="440">
        <f t="shared" si="3"/>
        <v>2906.0699999999997</v>
      </c>
      <c r="X47" s="440">
        <f t="shared" si="3"/>
        <v>185.88</v>
      </c>
      <c r="Y47" s="440">
        <f t="shared" si="3"/>
        <v>1770</v>
      </c>
      <c r="Z47" s="440">
        <f t="shared" si="3"/>
        <v>1770</v>
      </c>
      <c r="AA47" s="440">
        <f t="shared" si="3"/>
        <v>0</v>
      </c>
      <c r="AB47" s="440">
        <f t="shared" si="3"/>
        <v>3184.1</v>
      </c>
      <c r="AC47" s="440">
        <f t="shared" si="3"/>
        <v>213</v>
      </c>
      <c r="AD47" s="440">
        <f t="shared" si="3"/>
        <v>0</v>
      </c>
      <c r="AE47" s="440">
        <f t="shared" si="3"/>
        <v>0</v>
      </c>
      <c r="AF47" s="440">
        <f t="shared" si="3"/>
        <v>886.4</v>
      </c>
    </row>
    <row r="48" spans="2:32" ht="12">
      <c r="B48" s="441"/>
      <c r="C48" s="441"/>
      <c r="D48" s="442"/>
      <c r="E48" s="422"/>
      <c r="F48" s="422"/>
      <c r="G48" s="422"/>
      <c r="H48" s="443"/>
      <c r="I48" s="443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</row>
    <row r="49" spans="2:32" s="445" customFormat="1" ht="18.75" customHeight="1" thickBot="1">
      <c r="B49" s="446"/>
      <c r="C49" s="446"/>
      <c r="D49" s="407"/>
      <c r="E49" s="397"/>
      <c r="F49" s="397"/>
      <c r="G49" s="447" t="s">
        <v>1066</v>
      </c>
      <c r="H49" s="448">
        <f>(J47+L47+N47+P47)-Y47</f>
        <v>6286.8</v>
      </c>
      <c r="J49" s="449"/>
      <c r="K49" s="400"/>
      <c r="N49" s="449"/>
      <c r="O49" s="449" t="s">
        <v>1067</v>
      </c>
      <c r="P49" s="450">
        <f>(K47+M47+O47+Q47)-Z47</f>
        <v>4283.5</v>
      </c>
      <c r="Q49" s="451"/>
      <c r="T49" s="453"/>
      <c r="U49" s="449" t="s">
        <v>787</v>
      </c>
      <c r="V49" s="549">
        <f>(R47+S47+T47+U47+V47+W47+X47)</f>
        <v>6286.799999999999</v>
      </c>
      <c r="W49" s="453"/>
      <c r="X49" s="453"/>
      <c r="Y49" s="454"/>
      <c r="AA49" s="455"/>
      <c r="AB49" s="447" t="s">
        <v>885</v>
      </c>
      <c r="AC49" s="550">
        <f>(AA47+AB47+AC47+AD47+AE47+AF47)</f>
        <v>4283.5</v>
      </c>
      <c r="AD49" s="453"/>
      <c r="AE49" s="453"/>
      <c r="AF49" s="453"/>
    </row>
    <row r="50" spans="2:32" s="457" customFormat="1" ht="18.75" customHeight="1" thickBot="1">
      <c r="B50" s="458"/>
      <c r="C50" s="459" t="s">
        <v>249</v>
      </c>
      <c r="D50" s="460"/>
      <c r="E50" s="397"/>
      <c r="F50" s="397"/>
      <c r="G50" s="461"/>
      <c r="H50" s="462">
        <f aca="true" t="shared" si="4" ref="H50:AF50">SUM(H3+H47)</f>
        <v>68637.06999999999</v>
      </c>
      <c r="I50" s="463">
        <f t="shared" si="4"/>
        <v>70814.94</v>
      </c>
      <c r="J50" s="464">
        <f t="shared" si="4"/>
        <v>58723.97</v>
      </c>
      <c r="K50" s="464">
        <f t="shared" si="4"/>
        <v>62706.57</v>
      </c>
      <c r="L50" s="464">
        <f t="shared" si="4"/>
        <v>0</v>
      </c>
      <c r="M50" s="464">
        <f t="shared" si="4"/>
        <v>63232.73</v>
      </c>
      <c r="N50" s="464">
        <f t="shared" si="4"/>
        <v>0</v>
      </c>
      <c r="O50" s="464">
        <f t="shared" si="4"/>
        <v>77741.76</v>
      </c>
      <c r="P50" s="464">
        <f t="shared" si="4"/>
        <v>9913.099999999999</v>
      </c>
      <c r="Q50" s="464">
        <f t="shared" si="4"/>
        <v>10066.26</v>
      </c>
      <c r="R50" s="464">
        <f t="shared" si="4"/>
        <v>3181.3</v>
      </c>
      <c r="S50" s="464">
        <f t="shared" si="4"/>
        <v>183.60000000000002</v>
      </c>
      <c r="T50" s="464">
        <f t="shared" si="4"/>
        <v>5854.200000000001</v>
      </c>
      <c r="U50" s="464">
        <f t="shared" si="4"/>
        <v>9463.619999999999</v>
      </c>
      <c r="V50" s="464">
        <f t="shared" si="4"/>
        <v>9686.03</v>
      </c>
      <c r="W50" s="464">
        <f t="shared" si="4"/>
        <v>14447.01</v>
      </c>
      <c r="X50" s="464">
        <f t="shared" si="4"/>
        <v>4051.31</v>
      </c>
      <c r="Y50" s="464">
        <f t="shared" si="4"/>
        <v>21770</v>
      </c>
      <c r="Z50" s="464">
        <f t="shared" si="4"/>
        <v>21770</v>
      </c>
      <c r="AA50" s="464">
        <f t="shared" si="4"/>
        <v>0</v>
      </c>
      <c r="AB50" s="464">
        <f t="shared" si="4"/>
        <v>37638.549999999996</v>
      </c>
      <c r="AC50" s="464">
        <f t="shared" si="4"/>
        <v>5466.6</v>
      </c>
      <c r="AD50" s="464">
        <f t="shared" si="4"/>
        <v>100</v>
      </c>
      <c r="AE50" s="464">
        <f t="shared" si="4"/>
        <v>1237.54</v>
      </c>
      <c r="AF50" s="464">
        <f t="shared" si="4"/>
        <v>4602.25</v>
      </c>
    </row>
    <row r="51" spans="2:32" s="457" customFormat="1" ht="12.75" thickBot="1">
      <c r="B51" s="458"/>
      <c r="C51" s="458"/>
      <c r="D51" s="460"/>
      <c r="E51" s="397"/>
      <c r="F51" s="397"/>
      <c r="G51" s="461"/>
      <c r="H51" s="465"/>
      <c r="I51" s="466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</row>
    <row r="52" spans="2:32" s="445" customFormat="1" ht="18.75" customHeight="1" thickBot="1">
      <c r="B52" s="458"/>
      <c r="C52" s="468"/>
      <c r="D52" s="407"/>
      <c r="E52" s="397"/>
      <c r="F52" s="397"/>
      <c r="G52" s="447" t="s">
        <v>887</v>
      </c>
      <c r="H52" s="469">
        <f>(J50+L50+P50)-Y50</f>
        <v>46867.07000000001</v>
      </c>
      <c r="J52" s="449"/>
      <c r="K52" s="400"/>
      <c r="N52" s="449"/>
      <c r="O52" s="449" t="s">
        <v>938</v>
      </c>
      <c r="P52" s="450">
        <f>(K50+M50+O50+Q50)</f>
        <v>213747.32</v>
      </c>
      <c r="Q52" s="451"/>
      <c r="R52" s="449" t="s">
        <v>887</v>
      </c>
      <c r="S52" s="452">
        <f>(R50+S50+T50+U50+V50+W50+X50)</f>
        <v>46867.07</v>
      </c>
      <c r="T52" s="453"/>
      <c r="U52" s="453"/>
      <c r="V52" s="453"/>
      <c r="W52" s="453"/>
      <c r="X52" s="453"/>
      <c r="Y52" s="470"/>
      <c r="AA52" s="455"/>
      <c r="AB52" s="447" t="s">
        <v>1069</v>
      </c>
      <c r="AC52" s="456">
        <f>(+Z50+AA50+AB50+AC50+AD50+AE50+AF50)</f>
        <v>70814.93999999999</v>
      </c>
      <c r="AD52" s="453"/>
      <c r="AE52" s="453"/>
      <c r="AF52" s="453"/>
    </row>
    <row r="53" spans="2:28" ht="18.75" customHeight="1" thickBot="1">
      <c r="B53" s="458"/>
      <c r="C53" s="471" t="s">
        <v>180</v>
      </c>
      <c r="D53" s="472" t="s">
        <v>1071</v>
      </c>
      <c r="E53" s="473"/>
      <c r="F53" s="473"/>
      <c r="G53" s="473"/>
      <c r="H53" s="474">
        <f>Sept15!H48</f>
        <v>5151.299999999997</v>
      </c>
      <c r="I53" s="475"/>
      <c r="J53" s="476" t="s">
        <v>1072</v>
      </c>
      <c r="K53" s="474">
        <f>Sept15!K48</f>
        <v>63232.73</v>
      </c>
      <c r="L53" s="477"/>
      <c r="M53" s="343" t="s">
        <v>1073</v>
      </c>
      <c r="N53" s="601">
        <f>Sept15!N48</f>
        <v>77741.76</v>
      </c>
      <c r="O53" s="477"/>
      <c r="P53" s="478" t="s">
        <v>981</v>
      </c>
      <c r="Q53" s="474">
        <f>Sept15!Q48</f>
        <v>987.7600000000004</v>
      </c>
      <c r="AB53" s="479"/>
    </row>
    <row r="54" spans="2:28" s="480" customFormat="1" ht="12.75" thickBot="1">
      <c r="B54" s="425"/>
      <c r="C54" s="481" t="s">
        <v>894</v>
      </c>
      <c r="D54" s="482"/>
      <c r="E54" s="397"/>
      <c r="F54" s="397"/>
      <c r="G54" s="397"/>
      <c r="H54" s="483"/>
      <c r="I54" s="484"/>
      <c r="J54" s="483"/>
      <c r="K54" s="483"/>
      <c r="L54" s="484"/>
      <c r="M54" s="484"/>
      <c r="N54" s="484"/>
      <c r="O54" s="484"/>
      <c r="P54" s="483"/>
      <c r="Q54" s="400"/>
      <c r="R54" s="485"/>
      <c r="S54" s="476" t="s">
        <v>1074</v>
      </c>
      <c r="T54" s="486"/>
      <c r="U54" s="487"/>
      <c r="V54" s="487"/>
      <c r="W54" s="487"/>
      <c r="X54" s="476" t="s">
        <v>1075</v>
      </c>
      <c r="Y54" s="488"/>
      <c r="Z54" s="486"/>
      <c r="AB54" s="405"/>
    </row>
    <row r="55" spans="2:28" ht="18.75" customHeight="1" thickBot="1" thickTop="1">
      <c r="B55" s="489"/>
      <c r="C55" s="490" t="s">
        <v>1070</v>
      </c>
      <c r="D55" s="491" t="s">
        <v>1071</v>
      </c>
      <c r="E55" s="492"/>
      <c r="F55" s="492"/>
      <c r="G55" s="492"/>
      <c r="H55" s="493">
        <f>SUM(H53+K47)-(J47)</f>
        <v>3982.5999999999976</v>
      </c>
      <c r="I55" s="494"/>
      <c r="J55" s="495" t="s">
        <v>1072</v>
      </c>
      <c r="K55" s="493">
        <f>K53+M47-L47</f>
        <v>63232.73</v>
      </c>
      <c r="M55" s="343" t="s">
        <v>1073</v>
      </c>
      <c r="N55" s="691">
        <f>N53+O47-N47</f>
        <v>77741.76</v>
      </c>
      <c r="P55" s="495" t="s">
        <v>981</v>
      </c>
      <c r="Q55" s="493">
        <f>SUM(Q53+Q47)-(P47)</f>
        <v>153.1600000000003</v>
      </c>
      <c r="R55" s="496"/>
      <c r="S55" s="495" t="s">
        <v>1077</v>
      </c>
      <c r="T55" s="497"/>
      <c r="X55" s="495" t="s">
        <v>898</v>
      </c>
      <c r="Y55" s="498"/>
      <c r="Z55" s="497"/>
      <c r="AB55" s="499"/>
    </row>
    <row r="56" spans="2:28" ht="18.75" customHeight="1" thickTop="1">
      <c r="B56" s="489"/>
      <c r="C56" s="489"/>
      <c r="D56" s="538"/>
      <c r="E56" s="422"/>
      <c r="F56" s="422"/>
      <c r="G56" s="422"/>
      <c r="H56" s="541"/>
      <c r="I56" s="494"/>
      <c r="J56" s="496"/>
      <c r="K56" s="541"/>
      <c r="P56" s="496"/>
      <c r="Q56" s="541"/>
      <c r="R56" s="496"/>
      <c r="S56" s="496"/>
      <c r="T56" s="540"/>
      <c r="X56" s="496"/>
      <c r="Y56" s="498"/>
      <c r="Z56" s="540"/>
      <c r="AB56" s="499"/>
    </row>
    <row r="57" spans="2:28" s="457" customFormat="1" ht="18.75" customHeight="1">
      <c r="B57" s="446" t="s">
        <v>899</v>
      </c>
      <c r="C57" s="500"/>
      <c r="D57" s="501" t="s">
        <v>900</v>
      </c>
      <c r="E57" s="502"/>
      <c r="F57" s="502"/>
      <c r="G57" s="502"/>
      <c r="H57" s="503"/>
      <c r="I57" s="501" t="s">
        <v>901</v>
      </c>
      <c r="J57" s="503"/>
      <c r="K57" s="503"/>
      <c r="L57" s="501" t="s">
        <v>902</v>
      </c>
      <c r="M57" s="501"/>
      <c r="N57" s="501"/>
      <c r="O57" s="501"/>
      <c r="P57" s="503"/>
      <c r="Q57" s="503"/>
      <c r="R57" s="501" t="s">
        <v>903</v>
      </c>
      <c r="S57" s="400"/>
      <c r="T57" s="501" t="s">
        <v>900</v>
      </c>
      <c r="U57" s="400"/>
      <c r="V57" s="400"/>
      <c r="W57" s="400"/>
      <c r="X57" s="501" t="s">
        <v>901</v>
      </c>
      <c r="Y57" s="504"/>
      <c r="Z57" s="503"/>
      <c r="AB57" s="501" t="s">
        <v>902</v>
      </c>
    </row>
    <row r="58" spans="2:28" s="457" customFormat="1" ht="18.75" customHeight="1">
      <c r="B58" s="446"/>
      <c r="C58" s="500"/>
      <c r="D58" s="501"/>
      <c r="E58" s="502"/>
      <c r="F58" s="502"/>
      <c r="G58" s="502"/>
      <c r="H58" s="503"/>
      <c r="I58" s="501"/>
      <c r="J58" s="503"/>
      <c r="K58" s="503"/>
      <c r="L58" s="501"/>
      <c r="M58" s="501"/>
      <c r="N58" s="501"/>
      <c r="O58" s="501"/>
      <c r="P58" s="503"/>
      <c r="Q58" s="503"/>
      <c r="R58" s="501"/>
      <c r="S58" s="400"/>
      <c r="T58" s="501"/>
      <c r="U58" s="400"/>
      <c r="V58" s="400"/>
      <c r="W58" s="400"/>
      <c r="X58" s="501"/>
      <c r="Y58" s="504"/>
      <c r="Z58" s="503"/>
      <c r="AB58" s="501"/>
    </row>
    <row r="59" spans="2:28" s="506" customFormat="1" ht="12">
      <c r="B59" s="533" t="s">
        <v>904</v>
      </c>
      <c r="C59" s="507"/>
      <c r="D59" s="506" t="s">
        <v>77</v>
      </c>
      <c r="E59" s="508"/>
      <c r="F59" s="508"/>
      <c r="H59" s="509"/>
      <c r="I59" s="510"/>
      <c r="J59" s="511"/>
      <c r="K59" s="511"/>
      <c r="L59" s="510"/>
      <c r="M59" s="510"/>
      <c r="N59" s="510"/>
      <c r="O59" s="510"/>
      <c r="P59" s="511"/>
      <c r="Q59" s="511"/>
      <c r="R59" s="510" t="s">
        <v>904</v>
      </c>
      <c r="S59" s="400"/>
      <c r="T59" s="511" t="s">
        <v>578</v>
      </c>
      <c r="U59" s="400"/>
      <c r="V59" s="400"/>
      <c r="W59" s="400"/>
      <c r="X59" s="510"/>
      <c r="Y59" s="512"/>
      <c r="Z59" s="509"/>
      <c r="AB59" s="513"/>
    </row>
    <row r="60" spans="2:28" s="506" customFormat="1" ht="12">
      <c r="B60" s="533"/>
      <c r="C60" s="507"/>
      <c r="E60" s="508"/>
      <c r="F60" s="508"/>
      <c r="H60" s="509"/>
      <c r="I60" s="510"/>
      <c r="J60" s="511"/>
      <c r="K60" s="511"/>
      <c r="L60" s="510"/>
      <c r="M60" s="510"/>
      <c r="N60" s="510"/>
      <c r="O60" s="510"/>
      <c r="P60" s="511"/>
      <c r="Q60" s="511"/>
      <c r="R60" s="510"/>
      <c r="S60" s="400"/>
      <c r="T60" s="511"/>
      <c r="U60" s="400"/>
      <c r="V60" s="400"/>
      <c r="W60" s="400"/>
      <c r="X60" s="510"/>
      <c r="Y60" s="512"/>
      <c r="Z60" s="509"/>
      <c r="AB60" s="513"/>
    </row>
    <row r="61" spans="3:28" ht="18.75" customHeight="1">
      <c r="C61" s="514" t="s">
        <v>906</v>
      </c>
      <c r="D61" s="515"/>
      <c r="E61" s="516"/>
      <c r="F61" s="516"/>
      <c r="G61" s="517"/>
      <c r="H61" s="518">
        <f>H55+K55+N55+Q55</f>
        <v>145110.25</v>
      </c>
      <c r="AB61" s="519"/>
    </row>
    <row r="62" ht="12">
      <c r="J62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46.421875" style="610" customWidth="1"/>
    <col min="2" max="2" width="12.8515625" style="610" bestFit="1" customWidth="1"/>
    <col min="3" max="3" width="13.00390625" style="610" customWidth="1"/>
    <col min="4" max="4" width="11.7109375" style="610" bestFit="1" customWidth="1"/>
    <col min="5" max="5" width="11.421875" style="610" bestFit="1" customWidth="1"/>
    <col min="6" max="6" width="11.7109375" style="610" customWidth="1"/>
    <col min="7" max="7" width="12.00390625" style="610" customWidth="1"/>
    <col min="8" max="8" width="30.00390625" style="610" customWidth="1"/>
    <col min="9" max="10" width="10.8515625" style="610" customWidth="1"/>
    <col min="11" max="11" width="30.00390625" style="610" customWidth="1"/>
    <col min="12" max="16384" width="10.8515625" style="610" customWidth="1"/>
  </cols>
  <sheetData>
    <row r="1" spans="1:9" ht="48" customHeight="1">
      <c r="A1" s="872" t="s">
        <v>78</v>
      </c>
      <c r="B1" s="872"/>
      <c r="C1" s="872"/>
      <c r="D1" s="872"/>
      <c r="E1" s="872"/>
      <c r="F1" s="872"/>
      <c r="H1" s="776"/>
      <c r="I1" s="776"/>
    </row>
    <row r="2" spans="1:6" ht="49.5" customHeight="1">
      <c r="A2" s="874" t="s">
        <v>79</v>
      </c>
      <c r="B2" s="876" t="s">
        <v>80</v>
      </c>
      <c r="C2" s="878" t="s">
        <v>81</v>
      </c>
      <c r="D2" s="878" t="s">
        <v>256</v>
      </c>
      <c r="E2" s="880" t="s">
        <v>257</v>
      </c>
      <c r="F2" s="873" t="s">
        <v>258</v>
      </c>
    </row>
    <row r="3" spans="1:6" ht="6.75" customHeight="1">
      <c r="A3" s="875"/>
      <c r="B3" s="877"/>
      <c r="C3" s="879"/>
      <c r="D3" s="879"/>
      <c r="E3" s="881"/>
      <c r="F3" s="294"/>
    </row>
    <row r="4" spans="1:6" ht="21" customHeight="1">
      <c r="A4" s="249" t="s">
        <v>259</v>
      </c>
      <c r="B4" s="757">
        <v>40011.33</v>
      </c>
      <c r="C4" s="781">
        <v>36144.05</v>
      </c>
      <c r="D4" s="795">
        <f>(C4-B4)/B4</f>
        <v>-0.0966546225781547</v>
      </c>
      <c r="E4" s="795"/>
      <c r="F4" s="796">
        <f>C4/$C$20</f>
        <v>0.7369577779073642</v>
      </c>
    </row>
    <row r="5" spans="1:11" ht="21" customHeight="1">
      <c r="A5" s="249" t="s">
        <v>260</v>
      </c>
      <c r="B5" s="757">
        <v>1784.25</v>
      </c>
      <c r="C5" s="781">
        <v>1494.5</v>
      </c>
      <c r="D5" s="795">
        <f aca="true" t="shared" si="0" ref="D5:D20">(C5-B5)/B5</f>
        <v>-0.1623931623931624</v>
      </c>
      <c r="E5" s="795"/>
      <c r="F5" s="796">
        <f aca="true" t="shared" si="1" ref="F5:F20">C5/$C$20</f>
        <v>0.030472052774455426</v>
      </c>
      <c r="H5" s="786"/>
      <c r="K5" s="786"/>
    </row>
    <row r="6" spans="1:11" ht="21" customHeight="1">
      <c r="A6" s="249" t="s">
        <v>261</v>
      </c>
      <c r="B6" s="757">
        <v>5190.68</v>
      </c>
      <c r="C6" s="781">
        <f>Oct15!AC50</f>
        <v>5466.6</v>
      </c>
      <c r="D6" s="795">
        <f t="shared" si="0"/>
        <v>0.053156811824269665</v>
      </c>
      <c r="E6" s="795"/>
      <c r="F6" s="796">
        <f t="shared" si="1"/>
        <v>0.11146103960979462</v>
      </c>
      <c r="G6" s="768"/>
      <c r="H6" s="786"/>
      <c r="K6" s="786"/>
    </row>
    <row r="7" spans="1:11" ht="21" customHeight="1">
      <c r="A7" s="249" t="s">
        <v>262</v>
      </c>
      <c r="B7" s="757">
        <v>160</v>
      </c>
      <c r="C7" s="781">
        <f>Oct15!AD50</f>
        <v>100</v>
      </c>
      <c r="D7" s="795">
        <f t="shared" si="0"/>
        <v>-0.375</v>
      </c>
      <c r="E7" s="795"/>
      <c r="F7" s="796">
        <f t="shared" si="1"/>
        <v>0.002038946321475773</v>
      </c>
      <c r="H7" s="786"/>
      <c r="K7" s="786"/>
    </row>
    <row r="8" spans="1:11" ht="21" customHeight="1">
      <c r="A8" s="249" t="s">
        <v>82</v>
      </c>
      <c r="B8" s="757">
        <v>4150.71</v>
      </c>
      <c r="C8" s="781">
        <f>SUM(C9:C16)</f>
        <v>4602.25</v>
      </c>
      <c r="D8" s="795">
        <f t="shared" si="0"/>
        <v>0.10878620766085802</v>
      </c>
      <c r="E8" s="795"/>
      <c r="F8" s="796">
        <f t="shared" si="1"/>
        <v>0.09383740708011876</v>
      </c>
      <c r="G8" s="768"/>
      <c r="H8" s="786"/>
      <c r="K8" s="786"/>
    </row>
    <row r="9" spans="1:11" ht="21" customHeight="1">
      <c r="A9" s="891" t="s">
        <v>83</v>
      </c>
      <c r="B9" s="778">
        <v>280.56</v>
      </c>
      <c r="C9" s="779"/>
      <c r="D9" s="777">
        <f t="shared" si="0"/>
        <v>-1</v>
      </c>
      <c r="E9" s="777"/>
      <c r="F9" s="785">
        <f t="shared" si="1"/>
        <v>0</v>
      </c>
      <c r="H9" s="786"/>
      <c r="K9" s="786"/>
    </row>
    <row r="10" spans="1:9" ht="21" customHeight="1">
      <c r="A10" s="891" t="s">
        <v>84</v>
      </c>
      <c r="B10" s="778">
        <v>374.65</v>
      </c>
      <c r="C10" s="779">
        <f>28.6+27+81+1135.25+39.6</f>
        <v>1311.4499999999998</v>
      </c>
      <c r="D10" s="777">
        <f t="shared" si="0"/>
        <v>2.5004671026291203</v>
      </c>
      <c r="E10" s="777">
        <f>C10/$C$8</f>
        <v>0.2849584442392308</v>
      </c>
      <c r="F10" s="785">
        <f t="shared" si="1"/>
        <v>0.02673976153299402</v>
      </c>
      <c r="H10" s="786"/>
      <c r="I10" s="889"/>
    </row>
    <row r="11" spans="1:8" ht="21" customHeight="1">
      <c r="A11" s="891" t="s">
        <v>85</v>
      </c>
      <c r="B11" s="778">
        <v>45</v>
      </c>
      <c r="C11" s="779">
        <v>34.5</v>
      </c>
      <c r="D11" s="777">
        <f t="shared" si="0"/>
        <v>-0.23333333333333334</v>
      </c>
      <c r="E11" s="777">
        <f aca="true" t="shared" si="2" ref="E11:E16">C11/$C$8</f>
        <v>0.007496333315226248</v>
      </c>
      <c r="F11" s="785">
        <f t="shared" si="1"/>
        <v>0.0007034364809091417</v>
      </c>
      <c r="H11" s="786"/>
    </row>
    <row r="12" spans="1:8" ht="21" customHeight="1">
      <c r="A12" s="891" t="s">
        <v>86</v>
      </c>
      <c r="B12" s="778">
        <v>734.0999999999999</v>
      </c>
      <c r="C12" s="779">
        <v>846.8</v>
      </c>
      <c r="D12" s="777">
        <f t="shared" si="0"/>
        <v>0.1535213186214413</v>
      </c>
      <c r="E12" s="777">
        <f t="shared" si="2"/>
        <v>0.18399695800966917</v>
      </c>
      <c r="F12" s="785">
        <f t="shared" si="1"/>
        <v>0.017265797450256845</v>
      </c>
      <c r="H12" s="786"/>
    </row>
    <row r="13" spans="1:8" ht="21" customHeight="1">
      <c r="A13" s="891" t="s">
        <v>87</v>
      </c>
      <c r="B13" s="778">
        <v>266.4</v>
      </c>
      <c r="C13" s="779"/>
      <c r="D13" s="777">
        <f t="shared" si="0"/>
        <v>-1</v>
      </c>
      <c r="E13" s="777">
        <f t="shared" si="2"/>
        <v>0</v>
      </c>
      <c r="F13" s="785">
        <f t="shared" si="1"/>
        <v>0</v>
      </c>
      <c r="H13" s="786"/>
    </row>
    <row r="14" spans="1:8" ht="21" customHeight="1">
      <c r="A14" s="891" t="s">
        <v>88</v>
      </c>
      <c r="B14" s="778">
        <v>403</v>
      </c>
      <c r="C14" s="779">
        <f>286+169</f>
        <v>455</v>
      </c>
      <c r="D14" s="777">
        <f t="shared" si="0"/>
        <v>0.12903225806451613</v>
      </c>
      <c r="E14" s="777">
        <f t="shared" si="2"/>
        <v>0.09886468575153458</v>
      </c>
      <c r="F14" s="785">
        <f t="shared" si="1"/>
        <v>0.009277205762714767</v>
      </c>
      <c r="H14" s="786"/>
    </row>
    <row r="15" spans="1:8" s="787" customFormat="1" ht="21" customHeight="1">
      <c r="A15" s="891" t="s">
        <v>89</v>
      </c>
      <c r="B15" s="778">
        <v>1447</v>
      </c>
      <c r="C15" s="779">
        <f>204+480.5+360+475</f>
        <v>1519.5</v>
      </c>
      <c r="D15" s="777">
        <f t="shared" si="0"/>
        <v>0.050103662750518314</v>
      </c>
      <c r="E15" s="777">
        <f t="shared" si="2"/>
        <v>0.33016459340539955</v>
      </c>
      <c r="F15" s="785">
        <f t="shared" si="1"/>
        <v>0.03098178935482437</v>
      </c>
      <c r="G15" s="610"/>
      <c r="H15" s="786"/>
    </row>
    <row r="16" spans="1:8" s="787" customFormat="1" ht="21" customHeight="1">
      <c r="A16" s="891" t="s">
        <v>90</v>
      </c>
      <c r="B16" s="758">
        <v>600</v>
      </c>
      <c r="C16" s="779">
        <v>435</v>
      </c>
      <c r="D16" s="777">
        <f t="shared" si="0"/>
        <v>-0.275</v>
      </c>
      <c r="E16" s="777">
        <f t="shared" si="2"/>
        <v>0.09451898527893965</v>
      </c>
      <c r="F16" s="785">
        <f t="shared" si="1"/>
        <v>0.008869416498419613</v>
      </c>
      <c r="G16" s="610"/>
      <c r="H16" s="786"/>
    </row>
    <row r="17" spans="1:8" s="787" customFormat="1" ht="21" customHeight="1">
      <c r="A17" s="249" t="s">
        <v>91</v>
      </c>
      <c r="B17" s="757">
        <v>1200.26</v>
      </c>
      <c r="C17" s="781">
        <f>SUM(C18:C19)</f>
        <v>1237.54</v>
      </c>
      <c r="D17" s="795">
        <f t="shared" si="0"/>
        <v>0.03105993701364702</v>
      </c>
      <c r="E17" s="795">
        <f>C17/$C$17</f>
        <v>1</v>
      </c>
      <c r="F17" s="796">
        <f t="shared" si="1"/>
        <v>0.02523277630679128</v>
      </c>
      <c r="G17" s="610"/>
      <c r="H17" s="786"/>
    </row>
    <row r="18" spans="1:8" s="787" customFormat="1" ht="21" customHeight="1">
      <c r="A18" s="891" t="s">
        <v>1024</v>
      </c>
      <c r="B18" s="780">
        <v>838.72</v>
      </c>
      <c r="C18" s="779">
        <v>880.22</v>
      </c>
      <c r="D18" s="777">
        <f t="shared" si="0"/>
        <v>0.04948016024418161</v>
      </c>
      <c r="E18" s="777">
        <f>C18/$C$17</f>
        <v>0.7112658984760089</v>
      </c>
      <c r="F18" s="785">
        <f t="shared" si="1"/>
        <v>0.01794721331089405</v>
      </c>
      <c r="G18" s="610"/>
      <c r="H18" s="786"/>
    </row>
    <row r="19" spans="1:8" s="787" customFormat="1" ht="21" customHeight="1">
      <c r="A19" s="891" t="s">
        <v>92</v>
      </c>
      <c r="B19" s="758">
        <v>361.54</v>
      </c>
      <c r="C19" s="779">
        <v>357.32</v>
      </c>
      <c r="D19" s="777">
        <f t="shared" si="0"/>
        <v>-0.011672290756209623</v>
      </c>
      <c r="E19" s="777">
        <f>C19/$C$17</f>
        <v>0.28873410152399115</v>
      </c>
      <c r="F19" s="785">
        <f t="shared" si="1"/>
        <v>0.007285562995897232</v>
      </c>
      <c r="G19" s="788"/>
      <c r="H19" s="786"/>
    </row>
    <row r="20" spans="1:8" s="787" customFormat="1" ht="30.75" customHeight="1">
      <c r="A20" s="762" t="s">
        <v>93</v>
      </c>
      <c r="B20" s="757">
        <v>52497.23</v>
      </c>
      <c r="C20" s="781">
        <f>SUM(C4:C8)+C17</f>
        <v>49044.94</v>
      </c>
      <c r="D20" s="795">
        <f t="shared" si="0"/>
        <v>-0.0657613744572809</v>
      </c>
      <c r="E20" s="795"/>
      <c r="F20" s="796">
        <f t="shared" si="1"/>
        <v>1</v>
      </c>
      <c r="G20" s="788"/>
      <c r="H20" s="786"/>
    </row>
    <row r="21" spans="1:8" s="787" customFormat="1" ht="21" customHeight="1">
      <c r="A21" s="789"/>
      <c r="B21" s="790"/>
      <c r="C21" s="791"/>
      <c r="D21" s="790"/>
      <c r="E21" s="789"/>
      <c r="F21" s="792"/>
      <c r="G21" s="788"/>
      <c r="H21" s="786"/>
    </row>
    <row r="22" spans="6:8" ht="12.75">
      <c r="F22" s="792"/>
      <c r="G22" s="768"/>
      <c r="H22" s="786"/>
    </row>
    <row r="23" spans="1:8" ht="12.75">
      <c r="A23" s="793"/>
      <c r="F23" s="792"/>
      <c r="H23" s="786"/>
    </row>
    <row r="24" spans="6:7" ht="12.75">
      <c r="F24" s="792"/>
      <c r="G24" s="768"/>
    </row>
    <row r="25" spans="6:7" ht="12.75">
      <c r="F25" s="792"/>
      <c r="G25" s="768"/>
    </row>
    <row r="26" spans="6:7" ht="12.75">
      <c r="F26" s="792"/>
      <c r="G26" s="768"/>
    </row>
    <row r="27" spans="6:7" ht="12.75">
      <c r="F27" s="792"/>
      <c r="G27" s="768"/>
    </row>
    <row r="28" spans="6:7" ht="12.75">
      <c r="F28" s="792"/>
      <c r="G28" s="768"/>
    </row>
    <row r="29" spans="6:7" ht="12.75">
      <c r="F29" s="792"/>
      <c r="G29" s="768"/>
    </row>
    <row r="30" ht="12.75">
      <c r="F30" s="792"/>
    </row>
    <row r="31" ht="12.75">
      <c r="F31" s="792"/>
    </row>
    <row r="32" ht="12.75">
      <c r="F32" s="794"/>
    </row>
    <row r="33" ht="12.75">
      <c r="F33" s="794"/>
    </row>
    <row r="34" ht="12.75">
      <c r="F34" s="794"/>
    </row>
    <row r="35" ht="12.75">
      <c r="F35" s="794"/>
    </row>
    <row r="36" ht="12.75">
      <c r="F36" s="794"/>
    </row>
    <row r="37" ht="12.75">
      <c r="F37" s="794"/>
    </row>
    <row r="38" ht="12.75">
      <c r="F38" s="794"/>
    </row>
    <row r="39" ht="12.75">
      <c r="F39" s="794"/>
    </row>
    <row r="40" ht="12.75">
      <c r="F40" s="79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39">
      <selection activeCell="A16" sqref="A16"/>
    </sheetView>
  </sheetViews>
  <sheetFormatPr defaultColWidth="11.421875" defaultRowHeight="12.75"/>
  <cols>
    <col min="1" max="1" width="36.140625" style="610" customWidth="1"/>
    <col min="2" max="2" width="12.8515625" style="610" customWidth="1"/>
    <col min="3" max="3" width="14.00390625" style="610" customWidth="1"/>
    <col min="4" max="4" width="10.7109375" style="774" customWidth="1"/>
    <col min="5" max="5" width="12.00390625" style="774" customWidth="1"/>
    <col min="6" max="6" width="12.140625" style="771" customWidth="1"/>
    <col min="7" max="7" width="10.8515625" style="610" customWidth="1"/>
    <col min="8" max="20" width="0" style="610" hidden="1" customWidth="1"/>
    <col min="21" max="21" width="29.00390625" style="610" customWidth="1"/>
    <col min="22" max="16384" width="10.8515625" style="610" customWidth="1"/>
  </cols>
  <sheetData>
    <row r="1" spans="1:6" ht="45.75" customHeight="1">
      <c r="A1" s="872" t="s">
        <v>94</v>
      </c>
      <c r="B1" s="872"/>
      <c r="C1" s="872"/>
      <c r="D1" s="872"/>
      <c r="E1" s="872"/>
      <c r="F1" s="872"/>
    </row>
    <row r="2" spans="1:19" ht="39">
      <c r="A2" s="755" t="s">
        <v>95</v>
      </c>
      <c r="B2" s="755" t="s">
        <v>80</v>
      </c>
      <c r="C2" s="755" t="s">
        <v>81</v>
      </c>
      <c r="D2" s="763" t="s">
        <v>96</v>
      </c>
      <c r="E2" s="763" t="s">
        <v>97</v>
      </c>
      <c r="F2" s="765" t="s">
        <v>98</v>
      </c>
      <c r="H2" s="610" t="s">
        <v>99</v>
      </c>
      <c r="I2" s="610" t="s">
        <v>100</v>
      </c>
      <c r="J2" s="610" t="s">
        <v>101</v>
      </c>
      <c r="K2" s="610" t="s">
        <v>102</v>
      </c>
      <c r="L2" s="610" t="s">
        <v>103</v>
      </c>
      <c r="M2" s="610" t="s">
        <v>104</v>
      </c>
      <c r="N2" s="610" t="s">
        <v>105</v>
      </c>
      <c r="O2" s="610" t="s">
        <v>106</v>
      </c>
      <c r="P2" s="610" t="s">
        <v>107</v>
      </c>
      <c r="Q2" s="610" t="s">
        <v>108</v>
      </c>
      <c r="R2" s="610" t="s">
        <v>109</v>
      </c>
      <c r="S2" s="610" t="s">
        <v>110</v>
      </c>
    </row>
    <row r="3" spans="1:6" ht="12.75">
      <c r="A3" s="756" t="s">
        <v>111</v>
      </c>
      <c r="B3" s="757">
        <f>SUM(B4:B6)</f>
        <v>3529.68</v>
      </c>
      <c r="C3" s="757">
        <f>SUM(C4:C6)</f>
        <v>3181.3</v>
      </c>
      <c r="D3" s="773">
        <f>(C3-B3)/B3</f>
        <v>-0.09870016545409206</v>
      </c>
      <c r="E3" s="769">
        <f>C3/$C$3</f>
        <v>1</v>
      </c>
      <c r="F3" s="769">
        <f>C3/$C$75</f>
        <v>0.06787921668668428</v>
      </c>
    </row>
    <row r="4" spans="1:6" ht="12.75">
      <c r="A4" s="891" t="s">
        <v>112</v>
      </c>
      <c r="B4" s="758">
        <f>84+1094+116+1699.5+11.04</f>
        <v>3004.54</v>
      </c>
      <c r="C4" s="758">
        <f>avr15!R9+avr15!R22+JuiL15!R71+JuiL15!R72+Août15!R68+Sept15!R18+avr15!R24</f>
        <v>2496.8</v>
      </c>
      <c r="D4" s="770">
        <f>(C4-B4)/B4</f>
        <v>-0.1689909270637102</v>
      </c>
      <c r="E4" s="772">
        <f>C4/$C$3</f>
        <v>0.7848363876402729</v>
      </c>
      <c r="F4" s="770">
        <f>C4/$C$75</f>
        <v>0.05327407922022862</v>
      </c>
    </row>
    <row r="5" spans="1:46" ht="12.75">
      <c r="A5" s="891" t="s">
        <v>113</v>
      </c>
      <c r="B5" s="758">
        <f>37.8+13.92+18.43+34.28+15.84+5+12.55+11.85+51.82</f>
        <v>201.49</v>
      </c>
      <c r="C5" s="758">
        <f>'Déc 14'!R20+Jan15!R14+Fév15!R8+Août15!R60+Août15!R61+Oct15!R28+Oct15!R36+Oct15!R37</f>
        <v>253.68</v>
      </c>
      <c r="D5" s="770">
        <f>(C5-B5)/B5</f>
        <v>0.2590202987741327</v>
      </c>
      <c r="E5" s="772">
        <f>C5/$C$3</f>
        <v>0.07974098638921195</v>
      </c>
      <c r="F5" s="770">
        <f>C5/$C$75</f>
        <v>0.00541275569392326</v>
      </c>
      <c r="AS5" s="610">
        <v>2014</v>
      </c>
      <c r="AT5" s="610">
        <v>2015</v>
      </c>
    </row>
    <row r="6" spans="1:46" ht="12.75">
      <c r="A6" s="891" t="s">
        <v>114</v>
      </c>
      <c r="B6" s="758">
        <f>88.48+86.09+76.8+38.6+22.76+10.92</f>
        <v>323.65000000000003</v>
      </c>
      <c r="C6" s="758">
        <f>avr15!R8+Juin15!R65+Juin15!R72+Août15!R59+Sept15!R14+Sept15!R15+Oct15!R26+Oct15!R31+Oct15!R35</f>
        <v>430.82</v>
      </c>
      <c r="D6" s="770">
        <f>(C6-B6)/B6</f>
        <v>0.3311293063494514</v>
      </c>
      <c r="E6" s="772">
        <f>C6/$C$3</f>
        <v>0.1354226259705152</v>
      </c>
      <c r="F6" s="770">
        <f>C6/$C$75</f>
        <v>0.009192381772532399</v>
      </c>
      <c r="AR6" s="610" t="s">
        <v>111</v>
      </c>
      <c r="AS6" s="610">
        <v>3529.68</v>
      </c>
      <c r="AT6" s="610">
        <v>3181.3</v>
      </c>
    </row>
    <row r="7" spans="1:46" ht="12.75">
      <c r="A7" s="294"/>
      <c r="B7" s="758"/>
      <c r="C7" s="758"/>
      <c r="D7" s="770"/>
      <c r="E7" s="770"/>
      <c r="F7" s="770"/>
      <c r="AR7" s="610" t="s">
        <v>115</v>
      </c>
      <c r="AS7" s="610">
        <v>5048.89</v>
      </c>
      <c r="AT7" s="610">
        <v>5854.200000000001</v>
      </c>
    </row>
    <row r="8" spans="1:46" ht="12.75">
      <c r="A8" s="756" t="s">
        <v>115</v>
      </c>
      <c r="B8" s="757">
        <f>SUM(B9:B18)</f>
        <v>5048.89</v>
      </c>
      <c r="C8" s="757">
        <f>SUM(C9:C19)</f>
        <v>5854.200000000001</v>
      </c>
      <c r="D8" s="773">
        <f>(C8-B8)/B8</f>
        <v>0.15950238567289055</v>
      </c>
      <c r="E8" s="769">
        <f>C8/$C$8</f>
        <v>1</v>
      </c>
      <c r="F8" s="769">
        <f aca="true" t="shared" si="0" ref="F8:F18">C8/$C$75</f>
        <v>0.12491073156482795</v>
      </c>
      <c r="AR8" s="610" t="s">
        <v>116</v>
      </c>
      <c r="AS8" s="610">
        <v>6875.2300000000005</v>
      </c>
      <c r="AT8" s="610">
        <v>9463.62</v>
      </c>
    </row>
    <row r="9" spans="1:46" ht="12.75">
      <c r="A9" s="891" t="s">
        <v>980</v>
      </c>
      <c r="B9" s="758">
        <v>962.03</v>
      </c>
      <c r="C9" s="758">
        <v>1006.23</v>
      </c>
      <c r="D9" s="770">
        <f aca="true" t="shared" si="1" ref="D9:D72">(C9-B9)/B9</f>
        <v>0.045944513164870165</v>
      </c>
      <c r="E9" s="772">
        <f aca="true" t="shared" si="2" ref="E9:E18">C9/$C$8</f>
        <v>0.1718817259403505</v>
      </c>
      <c r="F9" s="770">
        <f t="shared" si="0"/>
        <v>0.021469872129834446</v>
      </c>
      <c r="J9" s="610">
        <v>962.03</v>
      </c>
      <c r="Q9" s="610">
        <v>44.2</v>
      </c>
      <c r="T9" s="610">
        <f>SUM(H9:S9)</f>
        <v>1006.23</v>
      </c>
      <c r="AR9" s="610" t="s">
        <v>117</v>
      </c>
      <c r="AS9" s="610">
        <v>10327.67</v>
      </c>
      <c r="AT9" s="610">
        <v>9686.029999999999</v>
      </c>
    </row>
    <row r="10" spans="1:46" ht="12.75">
      <c r="A10" s="891" t="s">
        <v>118</v>
      </c>
      <c r="B10" s="758">
        <f>367.44+34.78+205.2+63.15+51.99+63.15+158.99</f>
        <v>944.7</v>
      </c>
      <c r="C10" s="758">
        <v>963.9799999999999</v>
      </c>
      <c r="D10" s="770">
        <f t="shared" si="1"/>
        <v>0.02040859532126586</v>
      </c>
      <c r="E10" s="772">
        <f t="shared" si="2"/>
        <v>0.16466468518328717</v>
      </c>
      <c r="F10" s="770">
        <f t="shared" si="0"/>
        <v>0.020568386289136487</v>
      </c>
      <c r="I10" s="610">
        <v>435.62</v>
      </c>
      <c r="O10" s="610">
        <v>194.4</v>
      </c>
      <c r="Q10" s="610">
        <v>36.01</v>
      </c>
      <c r="R10" s="610">
        <f>63.15+119.66</f>
        <v>182.81</v>
      </c>
      <c r="S10" s="610">
        <f>51.99+63.15</f>
        <v>115.14</v>
      </c>
      <c r="T10" s="610">
        <f aca="true" t="shared" si="3" ref="T10:T19">SUM(H10:S10)</f>
        <v>963.9799999999999</v>
      </c>
      <c r="AR10" s="610" t="s">
        <v>119</v>
      </c>
      <c r="AS10" s="610">
        <v>8383.91</v>
      </c>
      <c r="AT10" s="610">
        <v>14447.009999999998</v>
      </c>
    </row>
    <row r="11" spans="1:46" ht="12.75">
      <c r="A11" s="891" t="s">
        <v>120</v>
      </c>
      <c r="B11" s="758">
        <f>11*31.98+28.66+48.28+0.55</f>
        <v>429.27000000000004</v>
      </c>
      <c r="C11" s="758">
        <v>506.79</v>
      </c>
      <c r="D11" s="770">
        <f t="shared" si="1"/>
        <v>0.1805856453980012</v>
      </c>
      <c r="E11" s="772">
        <f t="shared" si="2"/>
        <v>0.08656861740289022</v>
      </c>
      <c r="F11" s="770">
        <f t="shared" si="0"/>
        <v>0.010813349330350714</v>
      </c>
      <c r="G11" s="768"/>
      <c r="H11" s="610">
        <f>0.05+31.98</f>
        <v>32.03</v>
      </c>
      <c r="I11" s="610">
        <v>31.98</v>
      </c>
      <c r="J11" s="610">
        <v>31.98</v>
      </c>
      <c r="K11" s="610">
        <v>31.98</v>
      </c>
      <c r="L11" s="610">
        <f>31.98+1.85</f>
        <v>33.83</v>
      </c>
      <c r="M11" s="610">
        <v>31.98</v>
      </c>
      <c r="N11" s="610">
        <f>31.98+1.15</f>
        <v>33.13</v>
      </c>
      <c r="O11" s="610">
        <f>31.98+1.15</f>
        <v>33.13</v>
      </c>
      <c r="P11" s="610">
        <f>98.96+3.19</f>
        <v>102.14999999999999</v>
      </c>
      <c r="Q11" s="610">
        <f>31.98+8.15</f>
        <v>40.13</v>
      </c>
      <c r="R11" s="610">
        <f>5.6+31.98+28.66</f>
        <v>66.24</v>
      </c>
      <c r="S11" s="610">
        <f>31.98+6.25</f>
        <v>38.230000000000004</v>
      </c>
      <c r="T11" s="610">
        <f t="shared" si="3"/>
        <v>506.79</v>
      </c>
      <c r="AR11" s="610" t="s">
        <v>82</v>
      </c>
      <c r="AS11" s="610">
        <v>3673.45</v>
      </c>
      <c r="AT11" s="610">
        <v>4051.3099999999995</v>
      </c>
    </row>
    <row r="12" spans="1:46" ht="12.75">
      <c r="A12" s="891" t="s">
        <v>121</v>
      </c>
      <c r="B12" s="758">
        <v>1184</v>
      </c>
      <c r="C12" s="758">
        <v>1183</v>
      </c>
      <c r="D12" s="770">
        <f t="shared" si="1"/>
        <v>-0.0008445945945945946</v>
      </c>
      <c r="E12" s="772">
        <f t="shared" si="2"/>
        <v>0.2020771411977725</v>
      </c>
      <c r="F12" s="770">
        <f t="shared" si="0"/>
        <v>0.025241603539542797</v>
      </c>
      <c r="G12" s="768"/>
      <c r="S12" s="610">
        <v>1183</v>
      </c>
      <c r="T12" s="610">
        <f t="shared" si="3"/>
        <v>1183</v>
      </c>
      <c r="AR12" s="610" t="s">
        <v>122</v>
      </c>
      <c r="AS12" s="610">
        <v>198.70000000000002</v>
      </c>
      <c r="AT12" s="610">
        <v>183.60000000000002</v>
      </c>
    </row>
    <row r="13" spans="1:46" ht="12.75">
      <c r="A13" s="891" t="s">
        <v>123</v>
      </c>
      <c r="B13" s="758">
        <v>133</v>
      </c>
      <c r="C13" s="758">
        <v>136</v>
      </c>
      <c r="D13" s="770">
        <f t="shared" si="1"/>
        <v>0.022556390977443608</v>
      </c>
      <c r="E13" s="772">
        <f t="shared" si="2"/>
        <v>0.02323118444877182</v>
      </c>
      <c r="F13" s="770">
        <f t="shared" si="0"/>
        <v>0.002901824244613542</v>
      </c>
      <c r="N13" s="610">
        <v>136</v>
      </c>
      <c r="T13" s="610">
        <f t="shared" si="3"/>
        <v>136</v>
      </c>
      <c r="AR13" s="610" t="s">
        <v>93</v>
      </c>
      <c r="AS13" s="610">
        <v>38037.53</v>
      </c>
      <c r="AT13" s="610">
        <v>46867.07</v>
      </c>
    </row>
    <row r="14" spans="1:20" ht="12.75">
      <c r="A14" s="891" t="s">
        <v>124</v>
      </c>
      <c r="B14" s="758">
        <f>35.01+64.08+55.6+34</f>
        <v>188.69</v>
      </c>
      <c r="C14" s="758">
        <v>261.79</v>
      </c>
      <c r="D14" s="770">
        <f t="shared" si="1"/>
        <v>0.38740791774868844</v>
      </c>
      <c r="E14" s="772">
        <f t="shared" si="2"/>
        <v>0.04471832188855864</v>
      </c>
      <c r="F14" s="770">
        <f t="shared" si="0"/>
        <v>0.005585798301451318</v>
      </c>
      <c r="N14" s="610">
        <f>108.6+40.54</f>
        <v>149.14</v>
      </c>
      <c r="O14" s="610">
        <v>61.8</v>
      </c>
      <c r="S14" s="610">
        <v>50.85</v>
      </c>
      <c r="T14" s="610">
        <f t="shared" si="3"/>
        <v>261.79</v>
      </c>
    </row>
    <row r="15" spans="1:20" ht="12.75">
      <c r="A15" s="891" t="s">
        <v>125</v>
      </c>
      <c r="B15" s="758">
        <v>1032</v>
      </c>
      <c r="C15" s="758">
        <v>825.6</v>
      </c>
      <c r="D15" s="770">
        <f t="shared" si="1"/>
        <v>-0.19999999999999998</v>
      </c>
      <c r="E15" s="772">
        <f t="shared" si="2"/>
        <v>0.14102695500666187</v>
      </c>
      <c r="F15" s="770">
        <f t="shared" si="0"/>
        <v>0.01761578012024221</v>
      </c>
      <c r="P15" s="610">
        <v>825.6</v>
      </c>
      <c r="T15" s="610">
        <f t="shared" si="3"/>
        <v>825.6</v>
      </c>
    </row>
    <row r="16" spans="1:20" ht="12.75">
      <c r="A16" s="893" t="s">
        <v>126</v>
      </c>
      <c r="B16" s="294"/>
      <c r="C16" s="758">
        <v>850</v>
      </c>
      <c r="D16" s="770"/>
      <c r="E16" s="772">
        <f t="shared" si="2"/>
        <v>0.14519490280482386</v>
      </c>
      <c r="F16" s="770">
        <f t="shared" si="0"/>
        <v>0.01813640152883464</v>
      </c>
      <c r="O16" s="610">
        <v>255</v>
      </c>
      <c r="P16" s="610">
        <v>255</v>
      </c>
      <c r="Q16" s="610">
        <v>340</v>
      </c>
      <c r="T16" s="610">
        <f t="shared" si="3"/>
        <v>850</v>
      </c>
    </row>
    <row r="17" spans="1:20" ht="12.75">
      <c r="A17" s="893" t="s">
        <v>127</v>
      </c>
      <c r="B17" s="294"/>
      <c r="C17" s="758">
        <v>120.81</v>
      </c>
      <c r="D17" s="770"/>
      <c r="E17" s="772">
        <f t="shared" si="2"/>
        <v>0.02063646612688326</v>
      </c>
      <c r="F17" s="770">
        <f t="shared" si="0"/>
        <v>0.0025777160808217797</v>
      </c>
      <c r="L17" s="610">
        <v>20.85</v>
      </c>
      <c r="N17" s="610">
        <v>34.2</v>
      </c>
      <c r="Q17" s="610">
        <f>47.96+17.8</f>
        <v>65.76</v>
      </c>
      <c r="T17" s="610">
        <f t="shared" si="3"/>
        <v>120.81</v>
      </c>
    </row>
    <row r="18" spans="1:20" ht="12.75">
      <c r="A18" s="891" t="s">
        <v>128</v>
      </c>
      <c r="B18" s="758">
        <v>175.2</v>
      </c>
      <c r="C18" s="758">
        <v>0</v>
      </c>
      <c r="D18" s="770">
        <f t="shared" si="1"/>
        <v>-1</v>
      </c>
      <c r="E18" s="772">
        <f t="shared" si="2"/>
        <v>0</v>
      </c>
      <c r="F18" s="770">
        <f t="shared" si="0"/>
        <v>0</v>
      </c>
      <c r="T18" s="610">
        <f t="shared" si="3"/>
        <v>0</v>
      </c>
    </row>
    <row r="19" spans="1:20" ht="12.75">
      <c r="A19" s="766"/>
      <c r="B19" s="758"/>
      <c r="C19" s="758"/>
      <c r="D19" s="770"/>
      <c r="E19" s="770"/>
      <c r="F19" s="770"/>
      <c r="T19" s="610">
        <f t="shared" si="3"/>
        <v>0</v>
      </c>
    </row>
    <row r="20" spans="1:20" ht="12.75">
      <c r="A20" s="766"/>
      <c r="B20" s="758"/>
      <c r="C20" s="758"/>
      <c r="D20" s="770"/>
      <c r="E20" s="770"/>
      <c r="F20" s="770"/>
      <c r="H20" s="610">
        <f aca="true" t="shared" si="4" ref="H20:S20">SUM(H9:H19)</f>
        <v>32.03</v>
      </c>
      <c r="I20" s="610">
        <f t="shared" si="4"/>
        <v>467.6</v>
      </c>
      <c r="J20" s="610">
        <f t="shared" si="4"/>
        <v>994.01</v>
      </c>
      <c r="K20" s="610">
        <f t="shared" si="4"/>
        <v>31.98</v>
      </c>
      <c r="L20" s="610">
        <f t="shared" si="4"/>
        <v>54.68</v>
      </c>
      <c r="M20" s="610">
        <f t="shared" si="4"/>
        <v>31.98</v>
      </c>
      <c r="N20" s="610">
        <f t="shared" si="4"/>
        <v>352.46999999999997</v>
      </c>
      <c r="O20" s="610">
        <f t="shared" si="4"/>
        <v>544.3299999999999</v>
      </c>
      <c r="P20" s="610">
        <f t="shared" si="4"/>
        <v>1182.75</v>
      </c>
      <c r="Q20" s="610">
        <f t="shared" si="4"/>
        <v>526.1</v>
      </c>
      <c r="R20" s="610">
        <f t="shared" si="4"/>
        <v>249.05</v>
      </c>
      <c r="S20" s="610">
        <f t="shared" si="4"/>
        <v>1387.2199999999998</v>
      </c>
      <c r="T20" s="610">
        <f>SUM(H20:S20)</f>
        <v>5854.200000000001</v>
      </c>
    </row>
    <row r="21" spans="1:6" ht="12.75">
      <c r="A21" s="756" t="s">
        <v>116</v>
      </c>
      <c r="B21" s="757">
        <f>SUM(B22:B24)</f>
        <v>6875.2300000000005</v>
      </c>
      <c r="C21" s="757">
        <f>SUM(C22:C24)</f>
        <v>9463.62</v>
      </c>
      <c r="D21" s="773">
        <f t="shared" si="1"/>
        <v>0.37648049592522725</v>
      </c>
      <c r="E21" s="769">
        <f>C21/$C$21</f>
        <v>1</v>
      </c>
      <c r="F21" s="769">
        <f>C21/$C$75</f>
        <v>0.20192472027801184</v>
      </c>
    </row>
    <row r="22" spans="1:20" ht="12.75">
      <c r="A22" s="891" t="s">
        <v>129</v>
      </c>
      <c r="B22" s="758">
        <v>26.9</v>
      </c>
      <c r="C22" s="758">
        <v>49.8</v>
      </c>
      <c r="D22" s="770">
        <f t="shared" si="1"/>
        <v>0.8513011152416357</v>
      </c>
      <c r="E22" s="772">
        <f>C22/$C$21</f>
        <v>0.005262256937620064</v>
      </c>
      <c r="F22" s="770">
        <f>C22/$C$75</f>
        <v>0.0010625797601599588</v>
      </c>
      <c r="S22" s="610">
        <v>49.8</v>
      </c>
      <c r="T22" s="610">
        <f>SUM(H22:S22)</f>
        <v>49.8</v>
      </c>
    </row>
    <row r="23" spans="1:20" ht="12.75">
      <c r="A23" s="891" t="s">
        <v>130</v>
      </c>
      <c r="B23" s="758">
        <f>471.68+598.83+440.51+601.42+407.63+544.98+466.99+505.42+579.46+672.77+725.35+769.49</f>
        <v>6784.530000000001</v>
      </c>
      <c r="C23" s="758">
        <v>7179.240000000001</v>
      </c>
      <c r="D23" s="770">
        <f t="shared" si="1"/>
        <v>0.05817794305574594</v>
      </c>
      <c r="E23" s="772">
        <f>C23/$C$21</f>
        <v>0.758614568209628</v>
      </c>
      <c r="F23" s="770">
        <f>C23/$C$75</f>
        <v>0.1531830344845539</v>
      </c>
      <c r="H23" s="610">
        <v>530.89</v>
      </c>
      <c r="I23" s="610">
        <v>443.38</v>
      </c>
      <c r="J23" s="610">
        <v>487.21</v>
      </c>
      <c r="K23" s="610">
        <v>649.09</v>
      </c>
      <c r="L23" s="610">
        <v>584.64</v>
      </c>
      <c r="M23" s="610">
        <v>684.3</v>
      </c>
      <c r="N23" s="610">
        <v>200.79</v>
      </c>
      <c r="O23" s="610">
        <v>592.85</v>
      </c>
      <c r="P23" s="610">
        <v>659.87</v>
      </c>
      <c r="Q23" s="610">
        <v>770.95</v>
      </c>
      <c r="R23" s="610">
        <v>606.76</v>
      </c>
      <c r="S23" s="610">
        <v>968.51</v>
      </c>
      <c r="T23" s="610">
        <f>SUM(H23:S23)</f>
        <v>7179.240000000001</v>
      </c>
    </row>
    <row r="24" spans="1:20" ht="12.75">
      <c r="A24" s="892" t="s">
        <v>131</v>
      </c>
      <c r="B24" s="758">
        <v>63.8</v>
      </c>
      <c r="C24" s="758">
        <v>2234.58</v>
      </c>
      <c r="D24" s="770">
        <f t="shared" si="1"/>
        <v>34.02476489028213</v>
      </c>
      <c r="E24" s="772">
        <f>C24/$C$21</f>
        <v>0.2361231748527519</v>
      </c>
      <c r="F24" s="770">
        <f>C24/$C$75</f>
        <v>0.047679106033298</v>
      </c>
      <c r="O24" s="610">
        <v>2105.38</v>
      </c>
      <c r="P24" s="610">
        <v>129.2</v>
      </c>
      <c r="T24" s="610">
        <f>SUM(H24:S24)</f>
        <v>2234.58</v>
      </c>
    </row>
    <row r="25" spans="1:6" ht="12.75">
      <c r="A25" s="767"/>
      <c r="B25" s="758"/>
      <c r="C25" s="758"/>
      <c r="D25" s="770"/>
      <c r="E25" s="772"/>
      <c r="F25" s="770"/>
    </row>
    <row r="26" spans="1:20" ht="12.75">
      <c r="A26" s="756" t="s">
        <v>117</v>
      </c>
      <c r="B26" s="757">
        <f>SUM(B27:B40)</f>
        <v>10327.67</v>
      </c>
      <c r="C26" s="757">
        <f>SUM(C27:C39)</f>
        <v>9686.029999999999</v>
      </c>
      <c r="D26" s="773">
        <f t="shared" si="1"/>
        <v>-0.0621282438342822</v>
      </c>
      <c r="E26" s="769">
        <f>C26/$C$26</f>
        <v>1</v>
      </c>
      <c r="F26" s="769">
        <f aca="true" t="shared" si="5" ref="F26:F39">C26/$C$75</f>
        <v>0.2066702697651037</v>
      </c>
      <c r="T26" s="610">
        <f>SUM(T22:T24)</f>
        <v>9463.62</v>
      </c>
    </row>
    <row r="27" spans="1:20" ht="12.75">
      <c r="A27" s="891" t="s">
        <v>132</v>
      </c>
      <c r="B27" s="758">
        <f>161.65+33.25+12.98+22.7</f>
        <v>230.57999999999998</v>
      </c>
      <c r="C27" s="758">
        <v>17.65</v>
      </c>
      <c r="D27" s="770">
        <f t="shared" si="1"/>
        <v>-0.9234538988637349</v>
      </c>
      <c r="E27" s="772">
        <f aca="true" t="shared" si="6" ref="E27:E39">C27/$C$26</f>
        <v>0.0018222119898451687</v>
      </c>
      <c r="F27" s="770">
        <f t="shared" si="5"/>
        <v>0.0003765970435105075</v>
      </c>
      <c r="P27" s="610">
        <v>17.65</v>
      </c>
      <c r="T27" s="610">
        <f>SUM(H27:S27)</f>
        <v>17.65</v>
      </c>
    </row>
    <row r="28" spans="1:20" ht="12.75">
      <c r="A28" s="891" t="s">
        <v>133</v>
      </c>
      <c r="B28" s="758">
        <v>470.89</v>
      </c>
      <c r="C28" s="758">
        <v>464.63</v>
      </c>
      <c r="D28" s="770">
        <f t="shared" si="1"/>
        <v>-0.01329397523837837</v>
      </c>
      <c r="E28" s="772">
        <f t="shared" si="6"/>
        <v>0.04796908537347087</v>
      </c>
      <c r="F28" s="770">
        <f t="shared" si="5"/>
        <v>0.009913783814520516</v>
      </c>
      <c r="O28" s="610">
        <f>408.01+56.62</f>
        <v>464.63</v>
      </c>
      <c r="T28" s="610">
        <f>SUM(H28:S28)</f>
        <v>464.63</v>
      </c>
    </row>
    <row r="29" spans="1:20" ht="12.75">
      <c r="A29" s="891" t="s">
        <v>134</v>
      </c>
      <c r="B29" s="758">
        <v>186.71</v>
      </c>
      <c r="C29" s="758">
        <v>726.35</v>
      </c>
      <c r="D29" s="770">
        <f t="shared" si="1"/>
        <v>2.890257618767072</v>
      </c>
      <c r="E29" s="772">
        <f t="shared" si="6"/>
        <v>0.07498944355943561</v>
      </c>
      <c r="F29" s="770">
        <f t="shared" si="5"/>
        <v>0.015498088529963577</v>
      </c>
      <c r="L29" s="610">
        <v>305.17</v>
      </c>
      <c r="M29" s="610">
        <v>8.35</v>
      </c>
      <c r="N29" s="610">
        <v>37.1</v>
      </c>
      <c r="R29" s="610">
        <v>248.63</v>
      </c>
      <c r="S29" s="610">
        <f>7.1+120</f>
        <v>127.1</v>
      </c>
      <c r="T29" s="610">
        <f>SUM(H29:S29)</f>
        <v>726.35</v>
      </c>
    </row>
    <row r="30" spans="1:20" ht="12.75">
      <c r="A30" s="891" t="s">
        <v>135</v>
      </c>
      <c r="B30" s="758">
        <f>1628.86+448.44+1723.66</f>
        <v>3800.96</v>
      </c>
      <c r="C30" s="758">
        <v>2013.34</v>
      </c>
      <c r="D30" s="770">
        <f t="shared" si="1"/>
        <v>-0.4703075012628389</v>
      </c>
      <c r="E30" s="772">
        <f t="shared" si="6"/>
        <v>0.20786018626826472</v>
      </c>
      <c r="F30" s="770">
        <f t="shared" si="5"/>
        <v>0.042958520769486974</v>
      </c>
      <c r="I30" s="610">
        <v>2013.34</v>
      </c>
      <c r="T30" s="610">
        <f aca="true" t="shared" si="7" ref="T30:T39">SUM(H30:S30)</f>
        <v>2013.34</v>
      </c>
    </row>
    <row r="31" spans="1:20" ht="12.75">
      <c r="A31" s="891" t="s">
        <v>136</v>
      </c>
      <c r="B31" s="758">
        <f>78.5+75.4+174.42+24.1+87.9</f>
        <v>440.32000000000005</v>
      </c>
      <c r="C31" s="758">
        <v>265.05</v>
      </c>
      <c r="D31" s="770">
        <f t="shared" si="1"/>
        <v>-0.3980514171511628</v>
      </c>
      <c r="E31" s="772">
        <f t="shared" si="6"/>
        <v>0.027364152289431277</v>
      </c>
      <c r="F31" s="770">
        <f t="shared" si="5"/>
        <v>0.005655356735550143</v>
      </c>
      <c r="N31" s="610">
        <v>37.45</v>
      </c>
      <c r="O31" s="610">
        <f>227.6</f>
        <v>227.6</v>
      </c>
      <c r="T31" s="610">
        <f t="shared" si="7"/>
        <v>265.05</v>
      </c>
    </row>
    <row r="32" spans="1:20" ht="12.75">
      <c r="A32" s="891" t="s">
        <v>137</v>
      </c>
      <c r="B32" s="758">
        <v>527.99</v>
      </c>
      <c r="C32" s="758">
        <v>453.83</v>
      </c>
      <c r="D32" s="770">
        <f t="shared" si="1"/>
        <v>-0.14045720562889452</v>
      </c>
      <c r="E32" s="772">
        <f t="shared" si="6"/>
        <v>0.046854077470336146</v>
      </c>
      <c r="F32" s="770">
        <f t="shared" si="5"/>
        <v>0.00968334483038944</v>
      </c>
      <c r="N32" s="610">
        <f>217.32</f>
        <v>217.32</v>
      </c>
      <c r="O32" s="610">
        <v>36</v>
      </c>
      <c r="S32" s="610">
        <v>200.51</v>
      </c>
      <c r="T32" s="610">
        <f t="shared" si="7"/>
        <v>453.83</v>
      </c>
    </row>
    <row r="33" spans="1:20" ht="12.75">
      <c r="A33" s="891" t="s">
        <v>138</v>
      </c>
      <c r="B33" s="758">
        <f>34.25+107.88+77.82+122.78</f>
        <v>342.73</v>
      </c>
      <c r="C33" s="758">
        <v>0</v>
      </c>
      <c r="D33" s="770">
        <f t="shared" si="1"/>
        <v>-1</v>
      </c>
      <c r="E33" s="772">
        <f t="shared" si="6"/>
        <v>0</v>
      </c>
      <c r="F33" s="770">
        <f t="shared" si="5"/>
        <v>0</v>
      </c>
      <c r="T33" s="610">
        <f t="shared" si="7"/>
        <v>0</v>
      </c>
    </row>
    <row r="34" spans="1:20" ht="12.75">
      <c r="A34" s="891" t="s">
        <v>139</v>
      </c>
      <c r="B34" s="758">
        <v>439.35</v>
      </c>
      <c r="C34" s="758">
        <v>145</v>
      </c>
      <c r="D34" s="770">
        <f t="shared" si="1"/>
        <v>-0.66996699669967</v>
      </c>
      <c r="E34" s="772">
        <f t="shared" si="6"/>
        <v>0.014970013514308754</v>
      </c>
      <c r="F34" s="770">
        <f t="shared" si="5"/>
        <v>0.0030938567313894385</v>
      </c>
      <c r="P34" s="610">
        <v>145</v>
      </c>
      <c r="T34" s="610">
        <f t="shared" si="7"/>
        <v>145</v>
      </c>
    </row>
    <row r="35" spans="1:20" ht="12.75">
      <c r="A35" s="891" t="s">
        <v>140</v>
      </c>
      <c r="B35" s="758">
        <f>196.55+717.76+599.67</f>
        <v>1513.98</v>
      </c>
      <c r="C35" s="758">
        <v>3987.02</v>
      </c>
      <c r="D35" s="770">
        <f t="shared" si="1"/>
        <v>1.6334693985389503</v>
      </c>
      <c r="E35" s="772">
        <f t="shared" si="6"/>
        <v>0.4116258157366847</v>
      </c>
      <c r="F35" s="770">
        <f t="shared" si="5"/>
        <v>0.0850708183805815</v>
      </c>
      <c r="M35" s="610">
        <f>1098.64+995</f>
        <v>2093.6400000000003</v>
      </c>
      <c r="P35" s="610">
        <f>487.18</f>
        <v>487.18</v>
      </c>
      <c r="Q35" s="610">
        <v>34.66</v>
      </c>
      <c r="R35" s="610">
        <f>1249.92</f>
        <v>1249.92</v>
      </c>
      <c r="S35" s="610">
        <f>55.72+65.9</f>
        <v>121.62</v>
      </c>
      <c r="T35" s="610">
        <f t="shared" si="7"/>
        <v>3987.02</v>
      </c>
    </row>
    <row r="36" spans="1:20" ht="12.75">
      <c r="A36" s="891" t="s">
        <v>141</v>
      </c>
      <c r="B36" s="758">
        <f>167.52+25.14</f>
        <v>192.66000000000003</v>
      </c>
      <c r="C36" s="758">
        <v>0</v>
      </c>
      <c r="D36" s="770">
        <f t="shared" si="1"/>
        <v>-1</v>
      </c>
      <c r="E36" s="772">
        <f t="shared" si="6"/>
        <v>0</v>
      </c>
      <c r="F36" s="770">
        <f t="shared" si="5"/>
        <v>0</v>
      </c>
      <c r="T36" s="610">
        <f t="shared" si="7"/>
        <v>0</v>
      </c>
    </row>
    <row r="37" spans="1:20" ht="12.75">
      <c r="A37" s="891" t="s">
        <v>142</v>
      </c>
      <c r="B37" s="758">
        <f>35.4+95.2+1128.8</f>
        <v>1259.3999999999999</v>
      </c>
      <c r="C37" s="758">
        <v>772.38</v>
      </c>
      <c r="D37" s="770">
        <f t="shared" si="1"/>
        <v>-0.3867079561696045</v>
      </c>
      <c r="E37" s="772">
        <f t="shared" si="6"/>
        <v>0.07974164853918479</v>
      </c>
      <c r="F37" s="770">
        <f t="shared" si="5"/>
        <v>0.016480228015107408</v>
      </c>
      <c r="N37" s="610">
        <f>98.45+53.2+70.8+48.24+46+57.9</f>
        <v>374.59</v>
      </c>
      <c r="O37" s="610">
        <f>61.7+190</f>
        <v>251.7</v>
      </c>
      <c r="Q37" s="610">
        <f>27.07+11.5</f>
        <v>38.57</v>
      </c>
      <c r="R37" s="610">
        <f>53.76</f>
        <v>53.76</v>
      </c>
      <c r="S37" s="610">
        <v>53.76</v>
      </c>
      <c r="T37" s="610">
        <f t="shared" si="7"/>
        <v>772.38</v>
      </c>
    </row>
    <row r="38" spans="1:20" ht="12.75">
      <c r="A38" s="891" t="s">
        <v>143</v>
      </c>
      <c r="B38" s="758">
        <f>100+182.05+255.29+52.44+14.9+67.63+22.75</f>
        <v>695.06</v>
      </c>
      <c r="C38" s="758">
        <v>246.55</v>
      </c>
      <c r="D38" s="770">
        <f t="shared" si="1"/>
        <v>-0.6452824216614392</v>
      </c>
      <c r="E38" s="772">
        <f t="shared" si="6"/>
        <v>0.025454185047950505</v>
      </c>
      <c r="F38" s="770">
        <f t="shared" si="5"/>
        <v>0.0052606232905108</v>
      </c>
      <c r="Q38" s="610">
        <f>59.7+31.53+117.4</f>
        <v>208.63</v>
      </c>
      <c r="R38" s="610">
        <f>37.92</f>
        <v>37.92</v>
      </c>
      <c r="T38" s="610">
        <f t="shared" si="7"/>
        <v>246.55</v>
      </c>
    </row>
    <row r="39" spans="1:20" ht="12.75">
      <c r="A39" s="891" t="s">
        <v>144</v>
      </c>
      <c r="B39" s="758">
        <v>227.04</v>
      </c>
      <c r="C39" s="758">
        <v>594.23</v>
      </c>
      <c r="D39" s="770">
        <f t="shared" si="1"/>
        <v>1.617292107117689</v>
      </c>
      <c r="E39" s="772">
        <f t="shared" si="6"/>
        <v>0.061349180211087526</v>
      </c>
      <c r="F39" s="770">
        <f t="shared" si="5"/>
        <v>0.012679051624093421</v>
      </c>
      <c r="N39" s="610">
        <v>594.23</v>
      </c>
      <c r="T39" s="610">
        <f t="shared" si="7"/>
        <v>594.23</v>
      </c>
    </row>
    <row r="40" spans="1:20" ht="12.75">
      <c r="A40" s="294"/>
      <c r="B40" s="758"/>
      <c r="C40" s="758"/>
      <c r="D40" s="770"/>
      <c r="E40" s="770"/>
      <c r="F40" s="770"/>
      <c r="H40" s="610">
        <f>SUM(H27:H39)</f>
        <v>0</v>
      </c>
      <c r="I40" s="610">
        <f aca="true" t="shared" si="8" ref="I40:S40">SUM(I27:I39)</f>
        <v>2013.34</v>
      </c>
      <c r="J40" s="610">
        <f t="shared" si="8"/>
        <v>0</v>
      </c>
      <c r="K40" s="610">
        <f t="shared" si="8"/>
        <v>0</v>
      </c>
      <c r="L40" s="610">
        <f t="shared" si="8"/>
        <v>305.17</v>
      </c>
      <c r="M40" s="610">
        <f t="shared" si="8"/>
        <v>2101.9900000000002</v>
      </c>
      <c r="N40" s="610">
        <f t="shared" si="8"/>
        <v>1260.69</v>
      </c>
      <c r="O40" s="610">
        <f t="shared" si="8"/>
        <v>979.9300000000001</v>
      </c>
      <c r="P40" s="610">
        <f t="shared" si="8"/>
        <v>649.83</v>
      </c>
      <c r="Q40" s="610">
        <f t="shared" si="8"/>
        <v>281.86</v>
      </c>
      <c r="R40" s="610">
        <f t="shared" si="8"/>
        <v>1590.2300000000002</v>
      </c>
      <c r="S40" s="610">
        <f t="shared" si="8"/>
        <v>502.99</v>
      </c>
      <c r="T40" s="610">
        <f>SUM(T27:T39)</f>
        <v>9686.029999999999</v>
      </c>
    </row>
    <row r="41" spans="1:6" ht="12.75">
      <c r="A41" s="756" t="s">
        <v>119</v>
      </c>
      <c r="B41" s="757">
        <f>SUM(B42:B59)</f>
        <v>8383.91</v>
      </c>
      <c r="C41" s="757">
        <f>SUM(C42:C59)</f>
        <v>14447.009999999998</v>
      </c>
      <c r="D41" s="773">
        <f t="shared" si="1"/>
        <v>0.7231828585946174</v>
      </c>
      <c r="E41" s="769">
        <f>C41/$C$41</f>
        <v>1</v>
      </c>
      <c r="F41" s="769">
        <f aca="true" t="shared" si="9" ref="F41:F59">C41/$C$75</f>
        <v>0.30825502853069325</v>
      </c>
    </row>
    <row r="42" spans="1:20" ht="12.75">
      <c r="A42" s="893" t="s">
        <v>152</v>
      </c>
      <c r="B42" s="759">
        <f>27.9+352.35+47.15+30.7+125.42+61.6+33.15+35.8+25.3+75.25+9.47</f>
        <v>824.0899999999999</v>
      </c>
      <c r="C42" s="759">
        <v>0</v>
      </c>
      <c r="D42" s="770">
        <f t="shared" si="1"/>
        <v>-1</v>
      </c>
      <c r="E42" s="772">
        <f aca="true" t="shared" si="10" ref="E42:E59">C42/$C$41</f>
        <v>0</v>
      </c>
      <c r="F42" s="770">
        <f t="shared" si="9"/>
        <v>0</v>
      </c>
      <c r="T42" s="610">
        <f>SUM(H42:S42)</f>
        <v>0</v>
      </c>
    </row>
    <row r="43" spans="1:20" ht="12.75">
      <c r="A43" s="894" t="s">
        <v>153</v>
      </c>
      <c r="B43" s="759">
        <v>99.9</v>
      </c>
      <c r="C43" s="759">
        <v>0</v>
      </c>
      <c r="D43" s="770">
        <f t="shared" si="1"/>
        <v>-1</v>
      </c>
      <c r="E43" s="772">
        <f t="shared" si="10"/>
        <v>0</v>
      </c>
      <c r="F43" s="770">
        <f t="shared" si="9"/>
        <v>0</v>
      </c>
      <c r="T43" s="610">
        <f aca="true" t="shared" si="11" ref="T43:T59">SUM(H43:S43)</f>
        <v>0</v>
      </c>
    </row>
    <row r="44" spans="1:20" ht="12.75">
      <c r="A44" s="893" t="s">
        <v>154</v>
      </c>
      <c r="B44" s="759">
        <v>876</v>
      </c>
      <c r="C44" s="759">
        <v>0</v>
      </c>
      <c r="D44" s="770">
        <f t="shared" si="1"/>
        <v>-1</v>
      </c>
      <c r="E44" s="772">
        <f t="shared" si="10"/>
        <v>0</v>
      </c>
      <c r="F44" s="770">
        <f t="shared" si="9"/>
        <v>0</v>
      </c>
      <c r="T44" s="610">
        <f t="shared" si="11"/>
        <v>0</v>
      </c>
    </row>
    <row r="45" spans="1:20" ht="12.75">
      <c r="A45" s="893" t="s">
        <v>155</v>
      </c>
      <c r="B45" s="759"/>
      <c r="C45" s="759">
        <v>420</v>
      </c>
      <c r="D45" s="770"/>
      <c r="E45" s="772">
        <f t="shared" si="10"/>
        <v>0.029071759485180673</v>
      </c>
      <c r="F45" s="770">
        <f t="shared" si="9"/>
        <v>0.008961516049541821</v>
      </c>
      <c r="M45" s="610">
        <v>420</v>
      </c>
      <c r="T45" s="610">
        <f t="shared" si="11"/>
        <v>420</v>
      </c>
    </row>
    <row r="46" spans="1:20" ht="12.75">
      <c r="A46" s="893" t="s">
        <v>156</v>
      </c>
      <c r="B46" s="759">
        <f>105.75+55+648.23</f>
        <v>808.98</v>
      </c>
      <c r="C46" s="759">
        <v>0</v>
      </c>
      <c r="D46" s="770">
        <f t="shared" si="1"/>
        <v>-1</v>
      </c>
      <c r="E46" s="772">
        <f t="shared" si="10"/>
        <v>0</v>
      </c>
      <c r="F46" s="770">
        <f t="shared" si="9"/>
        <v>0</v>
      </c>
      <c r="T46" s="610">
        <f t="shared" si="11"/>
        <v>0</v>
      </c>
    </row>
    <row r="47" spans="1:20" ht="12.75">
      <c r="A47" s="893" t="s">
        <v>157</v>
      </c>
      <c r="B47" s="759"/>
      <c r="C47" s="759">
        <v>1093.93</v>
      </c>
      <c r="D47" s="770"/>
      <c r="E47" s="772">
        <f t="shared" si="10"/>
        <v>0.07572016631815166</v>
      </c>
      <c r="F47" s="770">
        <f t="shared" si="9"/>
        <v>0.023341122028750678</v>
      </c>
      <c r="N47" s="610">
        <v>784.14</v>
      </c>
      <c r="O47" s="610">
        <v>309.79</v>
      </c>
      <c r="T47" s="610">
        <f t="shared" si="11"/>
        <v>1093.93</v>
      </c>
    </row>
    <row r="48" spans="1:20" ht="12.75">
      <c r="A48" s="893" t="s">
        <v>158</v>
      </c>
      <c r="B48" s="759"/>
      <c r="C48" s="759">
        <v>4906.09</v>
      </c>
      <c r="D48" s="770"/>
      <c r="E48" s="772">
        <f t="shared" si="10"/>
        <v>0.33959206783964296</v>
      </c>
      <c r="F48" s="770">
        <f t="shared" si="9"/>
        <v>0.10468096256070628</v>
      </c>
      <c r="R48" s="610">
        <v>4398</v>
      </c>
      <c r="S48" s="610">
        <v>508.09</v>
      </c>
      <c r="T48" s="610">
        <f t="shared" si="11"/>
        <v>4906.09</v>
      </c>
    </row>
    <row r="49" spans="1:20" ht="12.75">
      <c r="A49" s="893" t="s">
        <v>396</v>
      </c>
      <c r="B49" s="759"/>
      <c r="C49" s="759">
        <v>365.40999999999997</v>
      </c>
      <c r="D49" s="770"/>
      <c r="E49" s="772">
        <f t="shared" si="10"/>
        <v>0.025293122936856833</v>
      </c>
      <c r="F49" s="770">
        <f t="shared" si="9"/>
        <v>0.007796732332531134</v>
      </c>
      <c r="R49" s="610">
        <f>206.26+159.15</f>
        <v>365.40999999999997</v>
      </c>
      <c r="T49" s="610">
        <f t="shared" si="11"/>
        <v>365.40999999999997</v>
      </c>
    </row>
    <row r="50" spans="1:20" ht="12.75">
      <c r="A50" s="893" t="s">
        <v>164</v>
      </c>
      <c r="B50" s="759"/>
      <c r="C50" s="759">
        <v>261.36</v>
      </c>
      <c r="D50" s="770"/>
      <c r="E50" s="772">
        <f t="shared" si="10"/>
        <v>0.018090940616778146</v>
      </c>
      <c r="F50" s="770">
        <f t="shared" si="9"/>
        <v>0.005576623415972025</v>
      </c>
      <c r="O50" s="610">
        <v>261.36</v>
      </c>
      <c r="T50" s="610">
        <f t="shared" si="11"/>
        <v>261.36</v>
      </c>
    </row>
    <row r="51" spans="1:20" ht="12.75">
      <c r="A51" s="893" t="s">
        <v>165</v>
      </c>
      <c r="B51" s="759">
        <v>132.46</v>
      </c>
      <c r="C51" s="759">
        <v>0</v>
      </c>
      <c r="D51" s="770">
        <f t="shared" si="1"/>
        <v>-1</v>
      </c>
      <c r="E51" s="772">
        <f t="shared" si="10"/>
        <v>0</v>
      </c>
      <c r="F51" s="770">
        <f t="shared" si="9"/>
        <v>0</v>
      </c>
      <c r="T51" s="610">
        <f t="shared" si="11"/>
        <v>0</v>
      </c>
    </row>
    <row r="52" spans="1:20" ht="12.75">
      <c r="A52" s="893" t="s">
        <v>166</v>
      </c>
      <c r="B52" s="759"/>
      <c r="C52" s="759">
        <v>970.71</v>
      </c>
      <c r="D52" s="770"/>
      <c r="E52" s="772">
        <f t="shared" si="10"/>
        <v>0.06719106583299936</v>
      </c>
      <c r="F52" s="770">
        <f t="shared" si="9"/>
        <v>0.02071198391535891</v>
      </c>
      <c r="S52" s="610">
        <f>35.7+29.26+905.75</f>
        <v>970.71</v>
      </c>
      <c r="T52" s="610">
        <f t="shared" si="11"/>
        <v>970.71</v>
      </c>
    </row>
    <row r="53" spans="1:20" ht="12.75">
      <c r="A53" s="893" t="s">
        <v>167</v>
      </c>
      <c r="B53" s="759"/>
      <c r="C53" s="759">
        <v>4841.89</v>
      </c>
      <c r="D53" s="770"/>
      <c r="E53" s="772">
        <f t="shared" si="10"/>
        <v>0.33514824174690827</v>
      </c>
      <c r="F53" s="770">
        <f t="shared" si="9"/>
        <v>0.10331113082170489</v>
      </c>
      <c r="N53" s="610">
        <f>25.88+1135.25</f>
        <v>1161.13</v>
      </c>
      <c r="P53" s="610">
        <f>300+1424.05</f>
        <v>1724.05</v>
      </c>
      <c r="Q53" s="610">
        <v>679.44</v>
      </c>
      <c r="S53" s="610">
        <f>979.44+297.83</f>
        <v>1277.27</v>
      </c>
      <c r="T53" s="610">
        <f t="shared" si="11"/>
        <v>4841.89</v>
      </c>
    </row>
    <row r="54" spans="1:20" ht="12.75">
      <c r="A54" s="893" t="s">
        <v>168</v>
      </c>
      <c r="B54" s="760">
        <f>228.23+972.12</f>
        <v>1200.35</v>
      </c>
      <c r="C54" s="760">
        <v>0</v>
      </c>
      <c r="D54" s="770">
        <f t="shared" si="1"/>
        <v>-1</v>
      </c>
      <c r="E54" s="772">
        <f t="shared" si="10"/>
        <v>0</v>
      </c>
      <c r="F54" s="770">
        <f t="shared" si="9"/>
        <v>0</v>
      </c>
      <c r="T54" s="610">
        <f t="shared" si="11"/>
        <v>0</v>
      </c>
    </row>
    <row r="55" spans="1:20" ht="12.75">
      <c r="A55" s="893" t="s">
        <v>169</v>
      </c>
      <c r="B55" s="759">
        <f>2160+532.8</f>
        <v>2692.8</v>
      </c>
      <c r="C55" s="759">
        <v>504</v>
      </c>
      <c r="D55" s="770">
        <f t="shared" si="1"/>
        <v>-0.8128342245989305</v>
      </c>
      <c r="E55" s="772">
        <f t="shared" si="10"/>
        <v>0.03488611138221681</v>
      </c>
      <c r="F55" s="770">
        <f t="shared" si="9"/>
        <v>0.010753819259450185</v>
      </c>
      <c r="L55" s="610">
        <v>504</v>
      </c>
      <c r="T55" s="610">
        <f t="shared" si="11"/>
        <v>504</v>
      </c>
    </row>
    <row r="56" spans="1:20" ht="12.75">
      <c r="A56" s="893" t="s">
        <v>170</v>
      </c>
      <c r="B56" s="759">
        <v>836.38</v>
      </c>
      <c r="C56" s="759">
        <v>0</v>
      </c>
      <c r="D56" s="770">
        <f t="shared" si="1"/>
        <v>-1</v>
      </c>
      <c r="E56" s="772">
        <f t="shared" si="10"/>
        <v>0</v>
      </c>
      <c r="F56" s="770">
        <f t="shared" si="9"/>
        <v>0</v>
      </c>
      <c r="T56" s="610">
        <f t="shared" si="11"/>
        <v>0</v>
      </c>
    </row>
    <row r="57" spans="1:20" ht="12.75">
      <c r="A57" s="893" t="s">
        <v>171</v>
      </c>
      <c r="B57" s="759"/>
      <c r="C57" s="759">
        <v>150</v>
      </c>
      <c r="D57" s="770"/>
      <c r="E57" s="772">
        <f t="shared" si="10"/>
        <v>0.010382771244707384</v>
      </c>
      <c r="F57" s="770">
        <f t="shared" si="9"/>
        <v>0.0032005414462649364</v>
      </c>
      <c r="S57" s="610">
        <v>150</v>
      </c>
      <c r="T57" s="610">
        <f t="shared" si="11"/>
        <v>150</v>
      </c>
    </row>
    <row r="58" spans="1:20" ht="12.75">
      <c r="A58" s="893" t="s">
        <v>172</v>
      </c>
      <c r="B58" s="759"/>
      <c r="C58" s="759">
        <v>612.71</v>
      </c>
      <c r="D58" s="770"/>
      <c r="E58" s="772">
        <f t="shared" si="10"/>
        <v>0.042410851795631074</v>
      </c>
      <c r="F58" s="770">
        <f t="shared" si="9"/>
        <v>0.01307335833027326</v>
      </c>
      <c r="M58" s="610">
        <v>500</v>
      </c>
      <c r="O58" s="610">
        <v>112.71</v>
      </c>
      <c r="T58" s="610">
        <f t="shared" si="11"/>
        <v>612.71</v>
      </c>
    </row>
    <row r="59" spans="1:20" ht="12.75">
      <c r="A59" s="893" t="s">
        <v>173</v>
      </c>
      <c r="B59" s="759">
        <f>66.07+52.09+22.85+54.29+9.92+707.73</f>
        <v>912.95</v>
      </c>
      <c r="C59" s="759">
        <v>320.90999999999997</v>
      </c>
      <c r="D59" s="770">
        <f t="shared" si="1"/>
        <v>-0.6484911550468263</v>
      </c>
      <c r="E59" s="772">
        <f t="shared" si="10"/>
        <v>0.022212900800926975</v>
      </c>
      <c r="F59" s="770">
        <f t="shared" si="9"/>
        <v>0.006847238370139203</v>
      </c>
      <c r="K59" s="610">
        <v>91.34</v>
      </c>
      <c r="L59" s="610">
        <v>108.97</v>
      </c>
      <c r="M59" s="610">
        <f>91.2+29.4</f>
        <v>120.6</v>
      </c>
      <c r="T59" s="610">
        <f t="shared" si="11"/>
        <v>320.90999999999997</v>
      </c>
    </row>
    <row r="60" spans="1:6" ht="12.75">
      <c r="A60" s="761"/>
      <c r="B60" s="759"/>
      <c r="C60" s="759"/>
      <c r="D60" s="770"/>
      <c r="E60" s="770"/>
      <c r="F60" s="770"/>
    </row>
    <row r="61" spans="1:20" ht="12.75">
      <c r="A61" s="756" t="s">
        <v>82</v>
      </c>
      <c r="B61" s="757">
        <f>SUM(B62:B70)</f>
        <v>3673.45</v>
      </c>
      <c r="C61" s="757">
        <f>SUM(C62:C70)</f>
        <v>4051.3099999999995</v>
      </c>
      <c r="D61" s="773">
        <f t="shared" si="1"/>
        <v>0.10286243177394538</v>
      </c>
      <c r="E61" s="769">
        <f>C61/$C$61</f>
        <v>1</v>
      </c>
      <c r="F61" s="769">
        <f aca="true" t="shared" si="12" ref="F61:F70">C61/$C$75</f>
        <v>0.08644257044445064</v>
      </c>
      <c r="H61" s="610">
        <f>SUM(H42:H59)</f>
        <v>0</v>
      </c>
      <c r="I61" s="610">
        <f aca="true" t="shared" si="13" ref="I61:T61">SUM(I42:I59)</f>
        <v>0</v>
      </c>
      <c r="J61" s="610">
        <f t="shared" si="13"/>
        <v>0</v>
      </c>
      <c r="K61" s="610">
        <f t="shared" si="13"/>
        <v>91.34</v>
      </c>
      <c r="L61" s="610">
        <f t="shared" si="13"/>
        <v>612.97</v>
      </c>
      <c r="M61" s="610">
        <f t="shared" si="13"/>
        <v>1040.6</v>
      </c>
      <c r="N61" s="610">
        <f t="shared" si="13"/>
        <v>1945.27</v>
      </c>
      <c r="O61" s="610">
        <f t="shared" si="13"/>
        <v>683.8600000000001</v>
      </c>
      <c r="P61" s="610">
        <f t="shared" si="13"/>
        <v>1724.05</v>
      </c>
      <c r="Q61" s="610">
        <f t="shared" si="13"/>
        <v>679.44</v>
      </c>
      <c r="R61" s="610">
        <f t="shared" si="13"/>
        <v>4763.41</v>
      </c>
      <c r="S61" s="610">
        <f t="shared" si="13"/>
        <v>2906.0699999999997</v>
      </c>
      <c r="T61" s="610">
        <f t="shared" si="13"/>
        <v>14447.009999999998</v>
      </c>
    </row>
    <row r="62" spans="1:20" ht="12.75">
      <c r="A62" s="891" t="s">
        <v>0</v>
      </c>
      <c r="B62" s="758">
        <f>26.07+132.75+186</f>
        <v>344.82</v>
      </c>
      <c r="C62" s="758">
        <v>483.76</v>
      </c>
      <c r="D62" s="770">
        <f t="shared" si="1"/>
        <v>0.4029348645670205</v>
      </c>
      <c r="E62" s="772">
        <f aca="true" t="shared" si="14" ref="E62:E70">C62/$C$61</f>
        <v>0.1194082901579983</v>
      </c>
      <c r="F62" s="770">
        <f t="shared" si="12"/>
        <v>0.01032195953363417</v>
      </c>
      <c r="J62" s="610">
        <f>12.99+132.75</f>
        <v>145.74</v>
      </c>
      <c r="K62" s="610">
        <f>113.02+225</f>
        <v>338.02</v>
      </c>
      <c r="T62" s="610">
        <f>SUM(H62:S62)</f>
        <v>483.76</v>
      </c>
    </row>
    <row r="63" spans="1:20" ht="12.75">
      <c r="A63" s="891" t="s">
        <v>1</v>
      </c>
      <c r="B63" s="758">
        <v>48.6</v>
      </c>
      <c r="C63" s="758">
        <v>0</v>
      </c>
      <c r="D63" s="770">
        <f t="shared" si="1"/>
        <v>-1</v>
      </c>
      <c r="E63" s="772">
        <f t="shared" si="14"/>
        <v>0</v>
      </c>
      <c r="F63" s="770">
        <f t="shared" si="12"/>
        <v>0</v>
      </c>
      <c r="T63" s="610">
        <f aca="true" t="shared" si="15" ref="T63:T72">SUM(H63:S63)</f>
        <v>0</v>
      </c>
    </row>
    <row r="64" spans="1:20" ht="12.75">
      <c r="A64" s="891" t="s">
        <v>2</v>
      </c>
      <c r="B64" s="758">
        <f>45+95</f>
        <v>140</v>
      </c>
      <c r="C64" s="758">
        <v>0</v>
      </c>
      <c r="D64" s="770">
        <f t="shared" si="1"/>
        <v>-1</v>
      </c>
      <c r="E64" s="772">
        <f t="shared" si="14"/>
        <v>0</v>
      </c>
      <c r="F64" s="770">
        <f t="shared" si="12"/>
        <v>0</v>
      </c>
      <c r="T64" s="610">
        <f t="shared" si="15"/>
        <v>0</v>
      </c>
    </row>
    <row r="65" spans="1:20" ht="12.75">
      <c r="A65" s="891" t="s">
        <v>3</v>
      </c>
      <c r="B65" s="758">
        <f>30+5</f>
        <v>35</v>
      </c>
      <c r="C65" s="758">
        <v>0</v>
      </c>
      <c r="D65" s="770">
        <f t="shared" si="1"/>
        <v>-1</v>
      </c>
      <c r="E65" s="772">
        <f t="shared" si="14"/>
        <v>0</v>
      </c>
      <c r="F65" s="770">
        <f t="shared" si="12"/>
        <v>0</v>
      </c>
      <c r="T65" s="610">
        <f t="shared" si="15"/>
        <v>0</v>
      </c>
    </row>
    <row r="66" spans="1:20" ht="12.75">
      <c r="A66" s="891" t="s">
        <v>4</v>
      </c>
      <c r="B66" s="758">
        <f>25.34+17.3+72.11+85.8+18.1+11.66+21.39</f>
        <v>251.7</v>
      </c>
      <c r="C66" s="758">
        <v>303.97</v>
      </c>
      <c r="D66" s="770">
        <f t="shared" si="1"/>
        <v>0.20766785856178005</v>
      </c>
      <c r="E66" s="772">
        <f t="shared" si="14"/>
        <v>0.07503005200786908</v>
      </c>
      <c r="F66" s="770">
        <f t="shared" si="12"/>
        <v>0.006485790556141019</v>
      </c>
      <c r="O66" s="610">
        <f>16.79+54.16+19.99</f>
        <v>90.93999999999998</v>
      </c>
      <c r="P66" s="610">
        <v>45.42</v>
      </c>
      <c r="Q66" s="610">
        <f>21.53+37.25+4+130.7</f>
        <v>193.48</v>
      </c>
      <c r="R66" s="610">
        <v>13.28</v>
      </c>
      <c r="S66" s="610">
        <v>5</v>
      </c>
      <c r="T66" s="610">
        <f t="shared" si="15"/>
        <v>348.11999999999995</v>
      </c>
    </row>
    <row r="67" spans="1:20" ht="12.75">
      <c r="A67" s="891" t="s">
        <v>5</v>
      </c>
      <c r="B67" s="758">
        <f>13.5+105.4+152.04+53.65+104.44+60.5+226.12+61.44+29.24+151.4+41.75+93+218.74+274.58+48+12.6+31.34+64.76+57.06</f>
        <v>1799.5599999999997</v>
      </c>
      <c r="C67" s="758">
        <v>2116.18</v>
      </c>
      <c r="D67" s="770">
        <f t="shared" si="1"/>
        <v>0.17594300829091564</v>
      </c>
      <c r="E67" s="772">
        <f t="shared" si="14"/>
        <v>0.5223446243313892</v>
      </c>
      <c r="F67" s="770">
        <f t="shared" si="12"/>
        <v>0.04515281198504621</v>
      </c>
      <c r="L67" s="610">
        <v>158.45</v>
      </c>
      <c r="M67" s="610">
        <v>104.41</v>
      </c>
      <c r="O67" s="610">
        <f>44.2+119.3+62+86.66</f>
        <v>312.15999999999997</v>
      </c>
      <c r="P67" s="610">
        <f>237.56+373+57.22</f>
        <v>667.78</v>
      </c>
      <c r="Q67" s="610">
        <f>598.09+38+56.41</f>
        <v>692.5</v>
      </c>
      <c r="S67" s="610">
        <f>15+145.13+20.75</f>
        <v>180.88</v>
      </c>
      <c r="T67" s="610">
        <f t="shared" si="15"/>
        <v>2116.18</v>
      </c>
    </row>
    <row r="68" spans="1:20" ht="12.75">
      <c r="A68" s="891" t="s">
        <v>6</v>
      </c>
      <c r="B68" s="758">
        <f>192.53+135.45</f>
        <v>327.98</v>
      </c>
      <c r="C68" s="758">
        <v>281.41</v>
      </c>
      <c r="D68" s="770">
        <f t="shared" si="1"/>
        <v>-0.14199036526617473</v>
      </c>
      <c r="E68" s="772">
        <f t="shared" si="14"/>
        <v>0.06946148282901088</v>
      </c>
      <c r="F68" s="770">
        <f t="shared" si="12"/>
        <v>0.006004429122622772</v>
      </c>
      <c r="L68" s="610">
        <v>103.9</v>
      </c>
      <c r="N68" s="610">
        <f>62.38+35.49</f>
        <v>97.87</v>
      </c>
      <c r="O68" s="610">
        <f>35.49</f>
        <v>35.49</v>
      </c>
      <c r="T68" s="610">
        <f t="shared" si="15"/>
        <v>237.26000000000002</v>
      </c>
    </row>
    <row r="69" spans="1:20" ht="12.75">
      <c r="A69" s="891" t="s">
        <v>7</v>
      </c>
      <c r="B69" s="758"/>
      <c r="C69" s="758">
        <v>70.25</v>
      </c>
      <c r="D69" s="770"/>
      <c r="E69" s="772">
        <f t="shared" si="14"/>
        <v>0.017340070248882462</v>
      </c>
      <c r="F69" s="770">
        <f t="shared" si="12"/>
        <v>0.0014989202440007451</v>
      </c>
      <c r="H69" s="610">
        <v>15</v>
      </c>
      <c r="M69" s="610">
        <v>55.25</v>
      </c>
      <c r="T69" s="610">
        <f t="shared" si="15"/>
        <v>70.25</v>
      </c>
    </row>
    <row r="70" spans="1:20" ht="12.75">
      <c r="A70" s="891" t="s">
        <v>8</v>
      </c>
      <c r="B70" s="758">
        <f>338.8+21.39+365.6</f>
        <v>725.79</v>
      </c>
      <c r="C70" s="758">
        <v>795.74</v>
      </c>
      <c r="D70" s="770">
        <f t="shared" si="1"/>
        <v>0.09637774011766495</v>
      </c>
      <c r="E70" s="772">
        <f t="shared" si="14"/>
        <v>0.19641548042485027</v>
      </c>
      <c r="F70" s="770">
        <f t="shared" si="12"/>
        <v>0.016978659003005735</v>
      </c>
      <c r="K70" s="610">
        <v>228.03</v>
      </c>
      <c r="O70" s="610">
        <v>224.91</v>
      </c>
      <c r="R70" s="610">
        <v>342.8</v>
      </c>
      <c r="T70" s="610">
        <f t="shared" si="15"/>
        <v>795.74</v>
      </c>
    </row>
    <row r="71" spans="1:6" ht="12.75">
      <c r="A71" s="766"/>
      <c r="B71" s="758"/>
      <c r="C71" s="758"/>
      <c r="D71" s="770"/>
      <c r="E71" s="770"/>
      <c r="F71" s="770"/>
    </row>
    <row r="72" spans="1:20" ht="12.75">
      <c r="A72" s="756" t="s">
        <v>122</v>
      </c>
      <c r="B72" s="757">
        <f>B73</f>
        <v>198.70000000000002</v>
      </c>
      <c r="C72" s="757">
        <f>SUM(C73)</f>
        <v>183.60000000000002</v>
      </c>
      <c r="D72" s="773">
        <f t="shared" si="1"/>
        <v>-0.07599396074484144</v>
      </c>
      <c r="E72" s="773">
        <f>C72/$C$72</f>
        <v>1</v>
      </c>
      <c r="F72" s="769">
        <f>C72/$C$75</f>
        <v>0.003917462730228282</v>
      </c>
      <c r="H72" s="610">
        <f>SUM(H62:H70)</f>
        <v>15</v>
      </c>
      <c r="I72" s="610">
        <f aca="true" t="shared" si="16" ref="I72:Q72">SUM(I62:I70)</f>
        <v>0</v>
      </c>
      <c r="J72" s="610">
        <f t="shared" si="16"/>
        <v>145.74</v>
      </c>
      <c r="K72" s="610">
        <f t="shared" si="16"/>
        <v>566.05</v>
      </c>
      <c r="L72" s="610">
        <f t="shared" si="16"/>
        <v>262.35</v>
      </c>
      <c r="M72" s="610">
        <f t="shared" si="16"/>
        <v>159.66</v>
      </c>
      <c r="N72" s="610">
        <f t="shared" si="16"/>
        <v>97.87</v>
      </c>
      <c r="O72" s="610">
        <f t="shared" si="16"/>
        <v>663.5</v>
      </c>
      <c r="P72" s="610">
        <f t="shared" si="16"/>
        <v>713.1999999999999</v>
      </c>
      <c r="Q72" s="610">
        <f t="shared" si="16"/>
        <v>885.98</v>
      </c>
      <c r="R72" s="610">
        <f>SUM(R62:R70)</f>
        <v>356.08</v>
      </c>
      <c r="S72" s="610">
        <f>SUM(S62:S70)</f>
        <v>185.88</v>
      </c>
      <c r="T72" s="610">
        <f t="shared" si="15"/>
        <v>4051.31</v>
      </c>
    </row>
    <row r="73" spans="1:6" ht="12.75">
      <c r="A73" s="891" t="s">
        <v>9</v>
      </c>
      <c r="B73" s="758">
        <f>4*15.25+9*15.3</f>
        <v>198.70000000000002</v>
      </c>
      <c r="C73" s="758">
        <f>12*15.3</f>
        <v>183.60000000000002</v>
      </c>
      <c r="D73" s="770">
        <f>(C73-B73)/B73</f>
        <v>-0.07599396074484144</v>
      </c>
      <c r="E73" s="772">
        <f>C73/$C$72</f>
        <v>1</v>
      </c>
      <c r="F73" s="770">
        <f>C73/$C$75</f>
        <v>0.003917462730228282</v>
      </c>
    </row>
    <row r="74" spans="1:6" ht="12.75">
      <c r="A74" s="294"/>
      <c r="B74" s="758"/>
      <c r="C74" s="758"/>
      <c r="D74" s="770"/>
      <c r="E74" s="770"/>
      <c r="F74" s="770"/>
    </row>
    <row r="75" spans="1:6" ht="21.75" customHeight="1">
      <c r="A75" s="762" t="s">
        <v>699</v>
      </c>
      <c r="B75" s="764">
        <f>SUM(B3+B8+B21+B26+B41+B61+B72)</f>
        <v>38037.53</v>
      </c>
      <c r="C75" s="764">
        <f>C3+C8+C21+C26+C41+C61+C72</f>
        <v>46867.07</v>
      </c>
      <c r="D75" s="773">
        <f>(C75-B75)/B75</f>
        <v>0.2321270597749118</v>
      </c>
      <c r="E75" s="769">
        <f>C75/C75</f>
        <v>1</v>
      </c>
      <c r="F75" s="769">
        <f>C75/$C$75</f>
        <v>1</v>
      </c>
    </row>
  </sheetData>
  <sheetProtection/>
  <printOptions/>
  <pageMargins left="0.75" right="0.75" top="1" bottom="1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8" sqref="F8"/>
    </sheetView>
  </sheetViews>
  <sheetFormatPr defaultColWidth="11.421875" defaultRowHeight="12.75"/>
  <sheetData>
    <row r="1" spans="1:3" ht="12.75">
      <c r="A1" s="890" t="s">
        <v>10</v>
      </c>
      <c r="B1" s="890" t="s">
        <v>11</v>
      </c>
      <c r="C1" s="890" t="s">
        <v>12</v>
      </c>
    </row>
    <row r="2" spans="1:3" ht="12.75">
      <c r="A2" s="12" t="s">
        <v>13</v>
      </c>
      <c r="B2" s="12">
        <f>nov14!H20</f>
        <v>593.22</v>
      </c>
      <c r="C2" s="12">
        <f>nov14!P20</f>
        <v>187.9000000000001</v>
      </c>
    </row>
    <row r="3" spans="1:3" ht="12.75">
      <c r="A3" s="12" t="s">
        <v>14</v>
      </c>
      <c r="B3" s="12">
        <f>'Déc 14'!H23</f>
        <v>3046.2999999999993</v>
      </c>
      <c r="C3" s="12">
        <f>'Déc 14'!P23</f>
        <v>6603.610000000001</v>
      </c>
    </row>
    <row r="4" spans="1:3" ht="12.75">
      <c r="A4" s="12" t="s">
        <v>15</v>
      </c>
      <c r="B4" s="12">
        <f>Jan15!H21</f>
        <v>1663.75</v>
      </c>
      <c r="C4" s="12">
        <f>Jan15!P21</f>
        <v>2893.5299999999997</v>
      </c>
    </row>
    <row r="5" spans="1:3" ht="12.75">
      <c r="A5" s="12" t="s">
        <v>16</v>
      </c>
      <c r="B5" s="12">
        <f>Fév15!H20</f>
        <v>1358.31</v>
      </c>
      <c r="C5" s="12">
        <f>Fév15!O20</f>
        <v>2808.59</v>
      </c>
    </row>
    <row r="6" spans="1:3" ht="12.75">
      <c r="A6" s="12" t="s">
        <v>17</v>
      </c>
      <c r="B6" s="12">
        <f>Mars15!H20</f>
        <v>1835.1100000000001</v>
      </c>
      <c r="C6" s="12">
        <f>Mars15!O20</f>
        <v>3523.99</v>
      </c>
    </row>
    <row r="7" spans="1:3" ht="12.75">
      <c r="A7" s="12" t="s">
        <v>18</v>
      </c>
      <c r="B7" s="12">
        <f>avr15!H29</f>
        <v>6227.63</v>
      </c>
      <c r="C7" s="12">
        <f>avr15!P29</f>
        <v>8243.619999999999</v>
      </c>
    </row>
    <row r="8" spans="1:3" ht="12.75">
      <c r="A8" s="12" t="s">
        <v>19</v>
      </c>
      <c r="B8" s="12">
        <f>Mai15!H45</f>
        <v>3872.39</v>
      </c>
      <c r="C8" s="12">
        <f>Mai15!P45</f>
        <v>1848.32</v>
      </c>
    </row>
    <row r="9" spans="1:3" ht="12.75">
      <c r="A9" s="12" t="s">
        <v>20</v>
      </c>
      <c r="B9" s="12">
        <f>Juin15!H83</f>
        <v>5669.04</v>
      </c>
      <c r="C9" s="12">
        <f>Juin15!P83</f>
        <v>8145.470000000001</v>
      </c>
    </row>
    <row r="10" spans="1:3" ht="12.75">
      <c r="A10" s="12" t="s">
        <v>21</v>
      </c>
      <c r="B10" s="12">
        <f>JuiL15!H88</f>
        <v>5250.200000000001</v>
      </c>
      <c r="C10" s="12">
        <f>JuiL15!P88</f>
        <v>6546.59</v>
      </c>
    </row>
    <row r="11" spans="1:3" ht="12.75">
      <c r="A11" s="12" t="s">
        <v>22</v>
      </c>
      <c r="B11" s="12">
        <f>Août15!H104</f>
        <v>3395.09</v>
      </c>
      <c r="C11" s="12">
        <f>Août15!P104</f>
        <v>2657.3999999999996</v>
      </c>
    </row>
    <row r="12" spans="1:3" ht="12.75">
      <c r="A12" s="12" t="s">
        <v>23</v>
      </c>
      <c r="B12" s="12">
        <f>Sept15!H42</f>
        <v>7669.23</v>
      </c>
      <c r="C12" s="12">
        <f>Sept15!P42</f>
        <v>1302.42</v>
      </c>
    </row>
    <row r="13" spans="1:3" ht="12.75">
      <c r="A13" s="12" t="s">
        <v>24</v>
      </c>
      <c r="B13" s="12">
        <f>Oct15!H49</f>
        <v>6286.8</v>
      </c>
      <c r="C13" s="12">
        <f>Oct15!P49</f>
        <v>4283.5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9">
      <selection activeCell="G41" sqref="G41"/>
    </sheetView>
  </sheetViews>
  <sheetFormatPr defaultColWidth="11.57421875" defaultRowHeight="12.75"/>
  <cols>
    <col min="1" max="1" width="8.7109375" style="13" customWidth="1"/>
    <col min="2" max="3" width="11.421875" style="13" customWidth="1"/>
    <col min="4" max="4" width="11.7109375" style="13" customWidth="1"/>
    <col min="5" max="5" width="11.421875" style="13" customWidth="1"/>
    <col min="6" max="6" width="16.421875" style="25" customWidth="1"/>
    <col min="7" max="7" width="8.7109375" style="13" customWidth="1"/>
    <col min="8" max="8" width="13.7109375" style="13" customWidth="1"/>
    <col min="9" max="9" width="11.421875" style="13" customWidth="1"/>
    <col min="10" max="10" width="11.8515625" style="13" customWidth="1"/>
    <col min="11" max="16384" width="11.421875" style="13" customWidth="1"/>
  </cols>
  <sheetData>
    <row r="2" spans="2:6" ht="18">
      <c r="B2" s="14"/>
      <c r="C2" s="15"/>
      <c r="D2" s="16" t="s">
        <v>1005</v>
      </c>
      <c r="E2" s="15"/>
      <c r="F2" s="17"/>
    </row>
    <row r="3" spans="2:6" ht="12.75">
      <c r="B3" s="14"/>
      <c r="C3" s="14"/>
      <c r="D3" s="14"/>
      <c r="E3" s="14"/>
      <c r="F3" s="17"/>
    </row>
    <row r="4" spans="2:6" ht="12.75">
      <c r="B4" s="14"/>
      <c r="C4" s="14"/>
      <c r="D4" s="14"/>
      <c r="E4" s="14"/>
      <c r="F4" s="17"/>
    </row>
    <row r="5" spans="2:6" ht="15.75">
      <c r="B5" s="14"/>
      <c r="C5" s="18" t="s">
        <v>25</v>
      </c>
      <c r="D5" s="19"/>
      <c r="E5" s="19"/>
      <c r="F5" s="20"/>
    </row>
    <row r="6" spans="2:6" ht="12.75">
      <c r="B6" s="14"/>
      <c r="C6" s="14"/>
      <c r="D6" s="14"/>
      <c r="E6" s="14"/>
      <c r="F6" s="17"/>
    </row>
    <row r="7" spans="2:6" ht="12.75">
      <c r="B7" s="14"/>
      <c r="C7" s="14"/>
      <c r="D7" s="14"/>
      <c r="E7" s="14"/>
      <c r="F7" s="17"/>
    </row>
    <row r="8" spans="2:6" ht="13.5">
      <c r="B8" s="21"/>
      <c r="C8" s="21"/>
      <c r="D8" s="22" t="s">
        <v>26</v>
      </c>
      <c r="E8" s="23"/>
      <c r="F8" s="24"/>
    </row>
    <row r="11" spans="2:6" ht="12.75">
      <c r="B11" s="26" t="s">
        <v>27</v>
      </c>
      <c r="F11" s="27">
        <f>SUM(F14:F21)</f>
        <v>142932.38</v>
      </c>
    </row>
    <row r="12" s="28" customFormat="1" ht="12.75">
      <c r="F12" s="29"/>
    </row>
    <row r="13" spans="2:6" s="28" customFormat="1" ht="12.75">
      <c r="B13" s="28" t="s">
        <v>28</v>
      </c>
      <c r="F13" s="25"/>
    </row>
    <row r="14" spans="3:8" s="28" customFormat="1" ht="12.75">
      <c r="C14" s="30" t="s">
        <v>29</v>
      </c>
      <c r="D14" s="13" t="s">
        <v>30</v>
      </c>
      <c r="F14" s="25">
        <f>nov14!K3</f>
        <v>15080.27</v>
      </c>
      <c r="H14" s="31"/>
    </row>
    <row r="15" ht="12.75">
      <c r="C15" s="28"/>
    </row>
    <row r="16" spans="4:6" ht="12.75">
      <c r="D16" s="13" t="s">
        <v>31</v>
      </c>
      <c r="F16" s="25">
        <f>nov14!M3</f>
        <v>50875.41</v>
      </c>
    </row>
    <row r="17" spans="3:6" s="28" customFormat="1" ht="12.75">
      <c r="C17" s="32"/>
      <c r="D17" s="32"/>
      <c r="E17" s="32"/>
      <c r="F17" s="33"/>
    </row>
    <row r="18" spans="3:6" ht="12.75">
      <c r="C18" s="28"/>
      <c r="D18" s="28" t="s">
        <v>1024</v>
      </c>
      <c r="E18" s="28"/>
      <c r="F18" s="25">
        <f>nov14!O3</f>
        <v>76861.54</v>
      </c>
    </row>
    <row r="19" ht="12.75">
      <c r="C19" s="30"/>
    </row>
    <row r="20" spans="3:6" s="28" customFormat="1" ht="12.75">
      <c r="C20" s="13"/>
      <c r="F20" s="25"/>
    </row>
    <row r="21" spans="3:6" s="28" customFormat="1" ht="12.75">
      <c r="C21" s="30" t="s">
        <v>32</v>
      </c>
      <c r="F21" s="25">
        <f>nov14!Q3</f>
        <v>115.16</v>
      </c>
    </row>
    <row r="22" s="28" customFormat="1" ht="12.75">
      <c r="F22" s="29"/>
    </row>
    <row r="23" s="28" customFormat="1" ht="12.75">
      <c r="F23" s="29"/>
    </row>
    <row r="24" ht="12.75">
      <c r="F24" s="29"/>
    </row>
    <row r="25" spans="2:10" ht="13.5">
      <c r="B25" s="34"/>
      <c r="C25" s="35" t="s">
        <v>33</v>
      </c>
      <c r="D25" s="36"/>
      <c r="E25" s="36"/>
      <c r="F25" s="37">
        <f>F28-F11</f>
        <v>2177.8699999999953</v>
      </c>
      <c r="J25" s="13">
        <f>F25</f>
        <v>2177.8699999999953</v>
      </c>
    </row>
    <row r="26" spans="6:10" ht="12.75">
      <c r="F26" s="29"/>
      <c r="H26" s="28"/>
      <c r="I26" s="29"/>
      <c r="J26" s="745">
        <f>'«Rec&amp;Dép» et Budget'!D43</f>
        <v>2177.8699999999953</v>
      </c>
    </row>
    <row r="27" spans="6:10" ht="12.75">
      <c r="F27" s="29"/>
      <c r="J27" s="745">
        <f>J25-J26</f>
        <v>0</v>
      </c>
    </row>
    <row r="28" spans="2:6" s="28" customFormat="1" ht="12.75">
      <c r="B28" s="26" t="s">
        <v>34</v>
      </c>
      <c r="F28" s="27">
        <f>SUM(F31:F38)</f>
        <v>145110.25</v>
      </c>
    </row>
    <row r="29" s="28" customFormat="1" ht="12.75">
      <c r="F29" s="25"/>
    </row>
    <row r="30" spans="2:6" s="28" customFormat="1" ht="12.75">
      <c r="B30" s="28" t="s">
        <v>28</v>
      </c>
      <c r="F30" s="25"/>
    </row>
    <row r="31" spans="3:6" s="28" customFormat="1" ht="12.75">
      <c r="C31" s="30" t="s">
        <v>29</v>
      </c>
      <c r="D31" s="13" t="s">
        <v>30</v>
      </c>
      <c r="F31" s="25">
        <f>Oct15!H55</f>
        <v>3982.5999999999976</v>
      </c>
    </row>
    <row r="32" ht="12.75">
      <c r="C32" s="28"/>
    </row>
    <row r="33" spans="4:6" ht="12.75">
      <c r="D33" s="13" t="s">
        <v>31</v>
      </c>
      <c r="F33" s="25">
        <f>Oct15!K55</f>
        <v>63232.73</v>
      </c>
    </row>
    <row r="34" spans="3:6" s="28" customFormat="1" ht="12.75">
      <c r="C34" s="32"/>
      <c r="D34" s="32"/>
      <c r="E34" s="32"/>
      <c r="F34" s="33">
        <v>0</v>
      </c>
    </row>
    <row r="35" spans="3:5" ht="12.75">
      <c r="C35" s="28"/>
      <c r="D35" s="28"/>
      <c r="E35" s="28"/>
    </row>
    <row r="36" spans="3:6" ht="12.75">
      <c r="C36" s="30"/>
      <c r="D36" s="13" t="s">
        <v>1024</v>
      </c>
      <c r="F36" s="25">
        <f>Oct15!N55</f>
        <v>77741.76</v>
      </c>
    </row>
    <row r="37" spans="3:6" s="28" customFormat="1" ht="12.75">
      <c r="C37" s="13"/>
      <c r="F37" s="25"/>
    </row>
    <row r="38" spans="3:6" s="28" customFormat="1" ht="12.75">
      <c r="C38" s="30" t="s">
        <v>32</v>
      </c>
      <c r="F38" s="25">
        <f>Oct15!Q55</f>
        <v>153.1600000000003</v>
      </c>
    </row>
    <row r="39" spans="2:6" ht="13.5" thickBot="1">
      <c r="B39" s="38"/>
      <c r="C39" s="38"/>
      <c r="D39" s="38"/>
      <c r="E39" s="38"/>
      <c r="F39" s="39"/>
    </row>
    <row r="40" spans="1:6" s="26" customFormat="1" ht="12.75">
      <c r="A40" s="13"/>
      <c r="B40" s="13"/>
      <c r="C40" s="13"/>
      <c r="D40" s="13"/>
      <c r="E40" s="13"/>
      <c r="F40" s="25"/>
    </row>
    <row r="41" spans="1:6" ht="12.75">
      <c r="A41" s="40" t="s">
        <v>35</v>
      </c>
      <c r="B41" s="41"/>
      <c r="D41" s="42" t="s">
        <v>899</v>
      </c>
      <c r="F41" s="43" t="s">
        <v>900</v>
      </c>
    </row>
    <row r="42" spans="1:6" ht="12.75">
      <c r="A42" s="44" t="s">
        <v>36</v>
      </c>
      <c r="B42" s="41"/>
      <c r="D42" s="27" t="s">
        <v>904</v>
      </c>
      <c r="F42" s="27" t="s">
        <v>905</v>
      </c>
    </row>
    <row r="43" ht="12.75">
      <c r="F43" s="29"/>
    </row>
    <row r="46" spans="1:9" ht="12.75">
      <c r="A46" s="41"/>
      <c r="B46" s="41"/>
      <c r="C46" s="45"/>
      <c r="D46" s="45"/>
      <c r="E46" s="45"/>
      <c r="G46" s="46"/>
      <c r="H46"/>
      <c r="I46" s="46"/>
    </row>
    <row r="47" spans="1:9" ht="12.75">
      <c r="A47" s="41"/>
      <c r="B47" s="41"/>
      <c r="C47" s="47"/>
      <c r="D47" s="47"/>
      <c r="E47" s="48"/>
      <c r="G47" s="49"/>
      <c r="H47"/>
      <c r="I47" s="49"/>
    </row>
    <row r="48" ht="12.75">
      <c r="F48" s="29"/>
    </row>
    <row r="49" spans="1:5" ht="12.75">
      <c r="A49" s="50" t="s">
        <v>901</v>
      </c>
      <c r="E49" s="50" t="s">
        <v>902</v>
      </c>
    </row>
    <row r="50" spans="1:5" ht="12.75">
      <c r="A50" s="51"/>
      <c r="E50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AB85"/>
  <sheetViews>
    <sheetView zoomScale="94" zoomScaleNormal="94" zoomScalePageLayoutView="0" workbookViewId="0" topLeftCell="A10">
      <selection activeCell="D37" sqref="D37"/>
    </sheetView>
  </sheetViews>
  <sheetFormatPr defaultColWidth="11.57421875" defaultRowHeight="12.75"/>
  <cols>
    <col min="1" max="1" width="32.00390625" style="67" customWidth="1"/>
    <col min="2" max="2" width="26.140625" style="207" customWidth="1"/>
    <col min="3" max="3" width="14.8515625" style="67" customWidth="1"/>
    <col min="4" max="4" width="27.28125" style="67" customWidth="1"/>
    <col min="5" max="5" width="16.00390625" style="67" customWidth="1"/>
    <col min="6" max="6" width="11.28125" style="67" customWidth="1"/>
    <col min="7" max="7" width="28.28125" style="67" customWidth="1"/>
    <col min="8" max="8" width="15.00390625" style="67" customWidth="1"/>
    <col min="9" max="16384" width="11.421875" style="67" customWidth="1"/>
  </cols>
  <sheetData>
    <row r="1" ht="23.25" customHeight="1"/>
    <row r="2" ht="23.25" customHeight="1"/>
    <row r="3" ht="23.25" customHeight="1"/>
    <row r="4" ht="11.25" customHeight="1"/>
    <row r="5" ht="23.25" customHeight="1"/>
    <row r="6" spans="1:8" ht="30">
      <c r="A6" s="887" t="s">
        <v>37</v>
      </c>
      <c r="B6" s="887"/>
      <c r="C6" s="887"/>
      <c r="D6" s="887"/>
      <c r="E6" s="887"/>
      <c r="F6" s="887"/>
      <c r="G6" s="887"/>
      <c r="H6" s="887"/>
    </row>
    <row r="7" spans="1:28" ht="14.25" customHeight="1">
      <c r="A7" s="68"/>
      <c r="B7" s="208"/>
      <c r="C7" s="69"/>
      <c r="O7" s="70"/>
      <c r="Q7" s="70"/>
      <c r="R7" s="70"/>
      <c r="S7" s="70"/>
      <c r="W7" s="70"/>
      <c r="X7" s="70"/>
      <c r="Y7" s="70"/>
      <c r="Z7" s="70"/>
      <c r="AA7" s="70"/>
      <c r="AB7" s="70"/>
    </row>
    <row r="8" spans="1:8" ht="23.25" customHeight="1">
      <c r="A8" s="71"/>
      <c r="B8" s="882" t="s">
        <v>38</v>
      </c>
      <c r="C8" s="883"/>
      <c r="D8" s="884" t="s">
        <v>39</v>
      </c>
      <c r="E8" s="885"/>
      <c r="F8" s="886"/>
      <c r="G8" s="882" t="s">
        <v>40</v>
      </c>
      <c r="H8" s="883"/>
    </row>
    <row r="9" spans="1:8" ht="15.75">
      <c r="A9" s="72"/>
      <c r="B9" s="209" t="s">
        <v>41</v>
      </c>
      <c r="C9" s="74" t="s">
        <v>42</v>
      </c>
      <c r="D9" s="75" t="s">
        <v>41</v>
      </c>
      <c r="E9" s="76" t="s">
        <v>43</v>
      </c>
      <c r="F9" s="77" t="s">
        <v>42</v>
      </c>
      <c r="G9" s="234" t="s">
        <v>41</v>
      </c>
      <c r="H9" s="235" t="s">
        <v>42</v>
      </c>
    </row>
    <row r="10" spans="1:8" ht="15.75">
      <c r="A10" s="78"/>
      <c r="B10" s="79"/>
      <c r="C10" s="80"/>
      <c r="D10" s="81"/>
      <c r="E10" s="81"/>
      <c r="F10" s="82"/>
      <c r="G10" s="79"/>
      <c r="H10" s="80"/>
    </row>
    <row r="11" spans="1:9" ht="15.75">
      <c r="A11" s="83" t="s">
        <v>44</v>
      </c>
      <c r="B11" s="233">
        <v>39200</v>
      </c>
      <c r="C11" s="85">
        <f>SUM(B11/B21)</f>
        <v>0.8252631578947368</v>
      </c>
      <c r="D11" s="86">
        <f>Oct15!AB50</f>
        <v>37638.549999999996</v>
      </c>
      <c r="E11" s="87">
        <f>D11/B11</f>
        <v>0.9601670918367345</v>
      </c>
      <c r="F11" s="87">
        <f>D11/$D$21</f>
        <v>0.7674298306818196</v>
      </c>
      <c r="G11" s="84">
        <v>37900</v>
      </c>
      <c r="H11" s="85">
        <f>SUM(G11/G21)</f>
        <v>0.7962184873949579</v>
      </c>
      <c r="I11" s="67" t="s">
        <v>45</v>
      </c>
    </row>
    <row r="12" spans="1:8" ht="15.75">
      <c r="A12" s="78"/>
      <c r="B12" s="233"/>
      <c r="C12" s="88"/>
      <c r="D12" s="89"/>
      <c r="E12" s="206"/>
      <c r="F12" s="90"/>
      <c r="G12" s="79"/>
      <c r="H12" s="88"/>
    </row>
    <row r="13" spans="1:8" ht="15.75">
      <c r="A13" s="83" t="s">
        <v>261</v>
      </c>
      <c r="B13" s="233">
        <v>4000</v>
      </c>
      <c r="C13" s="85">
        <f>SUM(B13/B21)</f>
        <v>0.08421052631578947</v>
      </c>
      <c r="D13" s="86">
        <f>Oct15!AC50</f>
        <v>5466.6</v>
      </c>
      <c r="E13" s="87">
        <f aca="true" t="shared" si="0" ref="E13:E21">D13/B13</f>
        <v>1.3666500000000001</v>
      </c>
      <c r="F13" s="87">
        <f>D13/$D$21</f>
        <v>0.11146103960979463</v>
      </c>
      <c r="G13" s="84">
        <v>4500</v>
      </c>
      <c r="H13" s="85">
        <f>SUM(G13/G21)</f>
        <v>0.09453781512605042</v>
      </c>
    </row>
    <row r="14" spans="1:8" ht="15.75">
      <c r="A14" s="78"/>
      <c r="B14" s="95"/>
      <c r="C14" s="88"/>
      <c r="D14" s="89"/>
      <c r="E14" s="206"/>
      <c r="F14" s="90"/>
      <c r="G14" s="79"/>
      <c r="H14" s="88"/>
    </row>
    <row r="15" spans="1:8" ht="15.75">
      <c r="A15" s="83" t="s">
        <v>262</v>
      </c>
      <c r="B15" s="233">
        <v>100</v>
      </c>
      <c r="C15" s="85">
        <f>SUM(B15/B21)</f>
        <v>0.002105263157894737</v>
      </c>
      <c r="D15" s="86">
        <f>Oct15!AD50</f>
        <v>100</v>
      </c>
      <c r="E15" s="87">
        <f t="shared" si="0"/>
        <v>1</v>
      </c>
      <c r="F15" s="87">
        <f>D15/$D$21</f>
        <v>0.0020389463214757733</v>
      </c>
      <c r="G15" s="84">
        <v>100</v>
      </c>
      <c r="H15" s="85">
        <f>SUM(G15/G21)</f>
        <v>0.0021008403361344537</v>
      </c>
    </row>
    <row r="16" spans="1:8" ht="15.75">
      <c r="A16" s="78"/>
      <c r="B16" s="95"/>
      <c r="C16" s="88"/>
      <c r="D16" s="89"/>
      <c r="E16" s="206"/>
      <c r="F16" s="90"/>
      <c r="G16" s="79"/>
      <c r="H16" s="88"/>
    </row>
    <row r="17" spans="1:8" ht="15.75">
      <c r="A17" s="83" t="s">
        <v>46</v>
      </c>
      <c r="B17" s="233">
        <v>3000</v>
      </c>
      <c r="C17" s="85">
        <f>SUM(B17/B21)</f>
        <v>0.06315789473684211</v>
      </c>
      <c r="D17" s="86">
        <f>Oct15!AF50</f>
        <v>4602.25</v>
      </c>
      <c r="E17" s="87">
        <f t="shared" si="0"/>
        <v>1.5340833333333332</v>
      </c>
      <c r="F17" s="87">
        <f>D17/$D$21</f>
        <v>0.09383740708011877</v>
      </c>
      <c r="G17" s="84">
        <v>4000</v>
      </c>
      <c r="H17" s="85">
        <f>SUM(G17/G21)</f>
        <v>0.08403361344537816</v>
      </c>
    </row>
    <row r="18" spans="1:8" ht="15.75">
      <c r="A18" s="78"/>
      <c r="B18" s="95"/>
      <c r="C18" s="91"/>
      <c r="D18" s="89"/>
      <c r="E18" s="206"/>
      <c r="F18" s="90"/>
      <c r="G18" s="79"/>
      <c r="H18" s="91"/>
    </row>
    <row r="19" spans="1:8" ht="15.75">
      <c r="A19" s="92" t="s">
        <v>47</v>
      </c>
      <c r="B19" s="233">
        <v>1200</v>
      </c>
      <c r="C19" s="85">
        <f>SUM(B19/B21)</f>
        <v>0.02526315789473684</v>
      </c>
      <c r="D19" s="86">
        <f>Oct15!AE50</f>
        <v>1237.54</v>
      </c>
      <c r="E19" s="87">
        <f t="shared" si="0"/>
        <v>1.0312833333333333</v>
      </c>
      <c r="F19" s="87">
        <f>D19/$D$21</f>
        <v>0.025232776306791282</v>
      </c>
      <c r="G19" s="84">
        <v>1100</v>
      </c>
      <c r="H19" s="85">
        <f>SUM(G19/G21)</f>
        <v>0.023109243697478993</v>
      </c>
    </row>
    <row r="20" spans="1:8" ht="15.75">
      <c r="A20" s="93"/>
      <c r="B20" s="94"/>
      <c r="C20" s="91"/>
      <c r="D20" s="95"/>
      <c r="E20" s="206"/>
      <c r="F20" s="90"/>
      <c r="G20" s="94"/>
      <c r="H20" s="91"/>
    </row>
    <row r="21" spans="1:8" ht="15.75">
      <c r="A21" s="96"/>
      <c r="B21" s="210">
        <f>SUM(B11:B19)</f>
        <v>47500</v>
      </c>
      <c r="C21" s="98">
        <v>1</v>
      </c>
      <c r="D21" s="99">
        <f>SUM(D11:D19)</f>
        <v>49044.939999999995</v>
      </c>
      <c r="E21" s="87">
        <f t="shared" si="0"/>
        <v>1.0325250526315788</v>
      </c>
      <c r="F21" s="87">
        <f>D21/$D$21</f>
        <v>1</v>
      </c>
      <c r="G21" s="97">
        <f>SUM(G11:G19)</f>
        <v>47600</v>
      </c>
      <c r="H21" s="98">
        <v>1</v>
      </c>
    </row>
    <row r="22" spans="1:8" ht="21.75" customHeight="1">
      <c r="A22" s="71"/>
      <c r="B22" s="882" t="s">
        <v>38</v>
      </c>
      <c r="C22" s="883"/>
      <c r="D22" s="884" t="s">
        <v>39</v>
      </c>
      <c r="E22" s="885"/>
      <c r="F22" s="886"/>
      <c r="G22" s="882" t="s">
        <v>40</v>
      </c>
      <c r="H22" s="883"/>
    </row>
    <row r="23" spans="1:8" ht="15.75">
      <c r="A23" s="100"/>
      <c r="B23" s="209" t="s">
        <v>41</v>
      </c>
      <c r="C23" s="74" t="s">
        <v>48</v>
      </c>
      <c r="D23" s="75" t="s">
        <v>41</v>
      </c>
      <c r="E23" s="76" t="s">
        <v>43</v>
      </c>
      <c r="F23" s="101" t="s">
        <v>48</v>
      </c>
      <c r="G23" s="73" t="s">
        <v>41</v>
      </c>
      <c r="H23" s="74" t="s">
        <v>48</v>
      </c>
    </row>
    <row r="24" spans="1:8" ht="15.75">
      <c r="A24" s="78"/>
      <c r="B24" s="79"/>
      <c r="C24" s="80"/>
      <c r="D24" s="81"/>
      <c r="E24" s="81"/>
      <c r="F24" s="101"/>
      <c r="G24" s="79"/>
      <c r="H24" s="80"/>
    </row>
    <row r="25" spans="1:8" ht="15.75">
      <c r="A25" s="78" t="s">
        <v>49</v>
      </c>
      <c r="B25" s="79">
        <v>5600</v>
      </c>
      <c r="C25" s="88">
        <f>SUM(B25/B39)</f>
        <v>0.12469383210866176</v>
      </c>
      <c r="D25" s="86">
        <f>Oct15!R50</f>
        <v>3181.3</v>
      </c>
      <c r="E25" s="87">
        <f>D25/B25</f>
        <v>0.5680892857142857</v>
      </c>
      <c r="F25" s="87">
        <f>D25/$D$39</f>
        <v>0.06787921668668428</v>
      </c>
      <c r="G25" s="79">
        <v>4000</v>
      </c>
      <c r="H25" s="88">
        <f>SUM(G25/G39)</f>
        <v>0.06931207762952694</v>
      </c>
    </row>
    <row r="26" spans="1:8" ht="15.75">
      <c r="A26" s="78"/>
      <c r="B26" s="79"/>
      <c r="C26" s="88"/>
      <c r="D26" s="89"/>
      <c r="E26" s="206"/>
      <c r="F26" s="90"/>
      <c r="G26" s="79"/>
      <c r="H26" s="88"/>
    </row>
    <row r="27" spans="1:8" ht="15.75">
      <c r="A27" s="83" t="s">
        <v>50</v>
      </c>
      <c r="B27" s="79">
        <v>5200</v>
      </c>
      <c r="C27" s="85">
        <f>SUM(B27/B39)</f>
        <v>0.11578712981518592</v>
      </c>
      <c r="D27" s="86">
        <f>Oct15!T50</f>
        <v>5854.200000000001</v>
      </c>
      <c r="E27" s="87">
        <f aca="true" t="shared" si="1" ref="E27:E39">D27/B27</f>
        <v>1.1258076923076925</v>
      </c>
      <c r="F27" s="87">
        <f>D27/$D$39</f>
        <v>0.12491073156482795</v>
      </c>
      <c r="G27" s="84">
        <v>5200</v>
      </c>
      <c r="H27" s="85">
        <f>SUM(G27/G39)</f>
        <v>0.09010570091838503</v>
      </c>
    </row>
    <row r="28" spans="1:8" ht="15.75">
      <c r="A28" s="78"/>
      <c r="B28" s="79"/>
      <c r="C28" s="88"/>
      <c r="D28" s="89"/>
      <c r="E28" s="206"/>
      <c r="F28" s="90"/>
      <c r="G28" s="79"/>
      <c r="H28" s="88"/>
    </row>
    <row r="29" spans="1:8" ht="15.75">
      <c r="A29" s="83" t="s">
        <v>51</v>
      </c>
      <c r="B29" s="79">
        <v>8500</v>
      </c>
      <c r="C29" s="85">
        <f>SUM(B29/B39)</f>
        <v>0.1892674237363616</v>
      </c>
      <c r="D29" s="86">
        <f>Oct15!U50</f>
        <v>9463.619999999999</v>
      </c>
      <c r="E29" s="87">
        <f t="shared" si="1"/>
        <v>1.1133670588235294</v>
      </c>
      <c r="F29" s="87">
        <f>D29/$D$39</f>
        <v>0.2019247202780118</v>
      </c>
      <c r="G29" s="84">
        <v>9000</v>
      </c>
      <c r="H29" s="85">
        <f>SUM(G29/G39)</f>
        <v>0.15595217466643563</v>
      </c>
    </row>
    <row r="30" spans="1:8" ht="15.75">
      <c r="A30" s="78"/>
      <c r="B30" s="79"/>
      <c r="C30" s="88"/>
      <c r="D30" s="89"/>
      <c r="E30" s="206"/>
      <c r="F30" s="90"/>
      <c r="G30" s="79"/>
      <c r="H30" s="88"/>
    </row>
    <row r="31" spans="1:8" ht="15.75">
      <c r="A31" s="83" t="s">
        <v>52</v>
      </c>
      <c r="B31" s="79">
        <v>8500</v>
      </c>
      <c r="C31" s="85">
        <f>SUM(B31/B39)</f>
        <v>0.1892674237363616</v>
      </c>
      <c r="D31" s="86">
        <f>Oct15!V50</f>
        <v>9686.03</v>
      </c>
      <c r="E31" s="87">
        <f t="shared" si="1"/>
        <v>1.1395329411764707</v>
      </c>
      <c r="F31" s="87">
        <f>D31/$D$39</f>
        <v>0.20667026976510375</v>
      </c>
      <c r="G31" s="84">
        <v>9500</v>
      </c>
      <c r="H31" s="85">
        <f>SUM(G31/G39)</f>
        <v>0.16461618437012648</v>
      </c>
    </row>
    <row r="32" spans="1:8" ht="15.75">
      <c r="A32" s="78"/>
      <c r="B32" s="79"/>
      <c r="C32" s="88"/>
      <c r="D32" s="89"/>
      <c r="E32" s="206"/>
      <c r="F32" s="90"/>
      <c r="G32" s="79"/>
      <c r="H32" s="88"/>
    </row>
    <row r="33" spans="1:8" ht="15.75">
      <c r="A33" s="83" t="s">
        <v>53</v>
      </c>
      <c r="B33" s="79">
        <v>12100</v>
      </c>
      <c r="C33" s="85">
        <f>SUM(B33/B39)</f>
        <v>0.26942774437764416</v>
      </c>
      <c r="D33" s="86">
        <f>Oct15!W50</f>
        <v>14447.01</v>
      </c>
      <c r="E33" s="87">
        <f t="shared" si="1"/>
        <v>1.1939677685950414</v>
      </c>
      <c r="F33" s="87">
        <f>D33/$D$39</f>
        <v>0.3082550285306933</v>
      </c>
      <c r="G33" s="79">
        <v>25000</v>
      </c>
      <c r="H33" s="85">
        <f>SUM(G33/G39)</f>
        <v>0.4332004851845434</v>
      </c>
    </row>
    <row r="34" spans="1:8" ht="15.75">
      <c r="A34" s="78"/>
      <c r="B34" s="79"/>
      <c r="C34" s="88"/>
      <c r="D34" s="89"/>
      <c r="E34" s="206"/>
      <c r="F34" s="90"/>
      <c r="G34" s="79"/>
      <c r="H34" s="88"/>
    </row>
    <row r="35" spans="1:8" ht="15.75">
      <c r="A35" s="83" t="s">
        <v>46</v>
      </c>
      <c r="B35" s="79">
        <v>4800</v>
      </c>
      <c r="C35" s="85">
        <f>SUM(B35/B39)</f>
        <v>0.10688042752171009</v>
      </c>
      <c r="D35" s="86">
        <f>Oct15!X50</f>
        <v>4051.31</v>
      </c>
      <c r="E35" s="87">
        <f t="shared" si="1"/>
        <v>0.8440229166666666</v>
      </c>
      <c r="F35" s="87">
        <f>D35/$D$39</f>
        <v>0.08644257044445065</v>
      </c>
      <c r="G35" s="84">
        <v>4800</v>
      </c>
      <c r="H35" s="85">
        <f>SUM(G35/G39)</f>
        <v>0.08317449315543234</v>
      </c>
    </row>
    <row r="36" spans="1:8" ht="15.75">
      <c r="A36" s="78"/>
      <c r="B36" s="79"/>
      <c r="C36" s="102"/>
      <c r="D36" s="89"/>
      <c r="E36" s="206"/>
      <c r="F36" s="90"/>
      <c r="G36" s="79"/>
      <c r="H36" s="102"/>
    </row>
    <row r="37" spans="1:8" ht="15.75">
      <c r="A37" s="92" t="s">
        <v>54</v>
      </c>
      <c r="B37" s="79">
        <v>210</v>
      </c>
      <c r="C37" s="85">
        <f>SUM(B37/B39)</f>
        <v>0.004676018704074816</v>
      </c>
      <c r="D37" s="86">
        <f>Oct15!S50</f>
        <v>183.60000000000002</v>
      </c>
      <c r="E37" s="87">
        <f t="shared" si="1"/>
        <v>0.8742857142857144</v>
      </c>
      <c r="F37" s="87">
        <f>D37/$D$39</f>
        <v>0.003917462730228282</v>
      </c>
      <c r="G37" s="84">
        <v>210</v>
      </c>
      <c r="H37" s="85">
        <f>SUM(G37/G39)</f>
        <v>0.0036388840755501644</v>
      </c>
    </row>
    <row r="38" spans="1:8" ht="15.75">
      <c r="A38" s="78"/>
      <c r="B38" s="79"/>
      <c r="C38" s="80"/>
      <c r="D38" s="95"/>
      <c r="E38" s="206"/>
      <c r="F38" s="90"/>
      <c r="G38" s="79"/>
      <c r="H38" s="80"/>
    </row>
    <row r="39" spans="1:8" ht="15.75">
      <c r="A39" s="103" t="s">
        <v>699</v>
      </c>
      <c r="B39" s="210">
        <f>SUM(B25:B37)</f>
        <v>44910</v>
      </c>
      <c r="C39" s="98">
        <f>SUM(C25:C37)</f>
        <v>1</v>
      </c>
      <c r="D39" s="99">
        <f>SUM(D25:D37)</f>
        <v>46867.07</v>
      </c>
      <c r="E39" s="87">
        <f t="shared" si="1"/>
        <v>1.043577599643732</v>
      </c>
      <c r="F39" s="87">
        <f>D39/$D$39</f>
        <v>1</v>
      </c>
      <c r="G39" s="97">
        <f>SUM(G25:G37)</f>
        <v>57710</v>
      </c>
      <c r="H39" s="98">
        <f>SUM(H25:H37)</f>
        <v>1</v>
      </c>
    </row>
    <row r="40" spans="1:8" ht="9" customHeight="1">
      <c r="A40" s="104"/>
      <c r="B40" s="211"/>
      <c r="C40" s="105"/>
      <c r="D40" s="106"/>
      <c r="E40" s="107"/>
      <c r="G40" s="104"/>
      <c r="H40" s="105"/>
    </row>
    <row r="41" spans="1:8" ht="8.25" customHeight="1">
      <c r="A41" s="108"/>
      <c r="B41" s="212"/>
      <c r="C41" s="110"/>
      <c r="D41" s="106"/>
      <c r="E41" s="111"/>
      <c r="G41" s="108"/>
      <c r="H41" s="110"/>
    </row>
    <row r="42" spans="1:8" ht="15.75">
      <c r="A42" s="112"/>
      <c r="B42" s="213"/>
      <c r="C42" s="113"/>
      <c r="D42" s="106"/>
      <c r="E42" s="111"/>
      <c r="G42" s="112"/>
      <c r="H42" s="113"/>
    </row>
    <row r="43" spans="1:8" ht="15.75">
      <c r="A43" s="114" t="s">
        <v>55</v>
      </c>
      <c r="B43" s="214">
        <f>+B21-B39</f>
        <v>2590</v>
      </c>
      <c r="C43" s="116"/>
      <c r="D43" s="117">
        <f>D21-D39</f>
        <v>2177.8699999999953</v>
      </c>
      <c r="E43" s="111"/>
      <c r="G43" s="115">
        <f>+G21-G39</f>
        <v>-10110</v>
      </c>
      <c r="H43" s="116"/>
    </row>
    <row r="44" spans="1:8" ht="15.75">
      <c r="A44" s="118"/>
      <c r="B44" s="215"/>
      <c r="C44" s="110"/>
      <c r="D44" s="106"/>
      <c r="E44" s="111"/>
      <c r="G44" s="119"/>
      <c r="H44" s="110"/>
    </row>
    <row r="45" spans="1:8" ht="11.25" customHeight="1">
      <c r="A45" s="120"/>
      <c r="B45" s="212"/>
      <c r="C45" s="121"/>
      <c r="D45" s="106"/>
      <c r="E45" s="111"/>
      <c r="F45" s="122"/>
      <c r="G45" s="120"/>
      <c r="H45" s="121"/>
    </row>
    <row r="46" spans="1:8" ht="15.75">
      <c r="A46" s="123"/>
      <c r="B46" s="216" t="s">
        <v>56</v>
      </c>
      <c r="C46" s="125"/>
      <c r="D46" s="124" t="s">
        <v>56</v>
      </c>
      <c r="E46" s="125"/>
      <c r="F46" s="126"/>
      <c r="G46" s="124" t="s">
        <v>56</v>
      </c>
      <c r="H46" s="125"/>
    </row>
    <row r="47" spans="1:8" s="132" customFormat="1" ht="15.75">
      <c r="A47" s="127"/>
      <c r="B47" s="217"/>
      <c r="C47" s="129"/>
      <c r="D47" s="128"/>
      <c r="E47" s="129"/>
      <c r="F47" s="131"/>
      <c r="G47" s="128"/>
      <c r="H47" s="129"/>
    </row>
    <row r="48" spans="1:8" s="132" customFormat="1" ht="15.75">
      <c r="A48" s="133"/>
      <c r="B48" s="218"/>
      <c r="C48" s="135"/>
      <c r="D48" s="134"/>
      <c r="E48" s="135"/>
      <c r="F48" s="136"/>
      <c r="G48" s="134"/>
      <c r="H48" s="135"/>
    </row>
    <row r="49" spans="1:8" s="132" customFormat="1" ht="15.75">
      <c r="A49" s="108"/>
      <c r="B49" s="219"/>
      <c r="C49" s="138"/>
      <c r="D49" s="137"/>
      <c r="E49" s="138"/>
      <c r="F49" s="136"/>
      <c r="G49" s="137"/>
      <c r="H49" s="138"/>
    </row>
    <row r="50" spans="1:8" s="132" customFormat="1" ht="15.75">
      <c r="A50" s="108"/>
      <c r="B50" s="220"/>
      <c r="C50" s="140"/>
      <c r="D50" s="198"/>
      <c r="E50" s="130"/>
      <c r="F50" s="136"/>
      <c r="G50" s="139"/>
      <c r="H50" s="140"/>
    </row>
    <row r="51" spans="1:8" s="132" customFormat="1" ht="15.75">
      <c r="A51" s="108"/>
      <c r="B51" s="221"/>
      <c r="C51" s="141"/>
      <c r="D51" s="190"/>
      <c r="E51" s="141"/>
      <c r="F51" s="136"/>
      <c r="G51" s="190"/>
      <c r="H51" s="141"/>
    </row>
    <row r="52" spans="1:8" s="132" customFormat="1" ht="15.75">
      <c r="A52" s="108"/>
      <c r="B52" s="222"/>
      <c r="C52" s="141"/>
      <c r="D52" s="186"/>
      <c r="E52" s="187"/>
      <c r="F52" s="136"/>
      <c r="G52" s="142"/>
      <c r="H52" s="141"/>
    </row>
    <row r="53" spans="1:8" s="132" customFormat="1" ht="15.75">
      <c r="A53" s="108"/>
      <c r="B53" s="218"/>
      <c r="C53" s="146"/>
      <c r="D53" s="188"/>
      <c r="E53" s="146"/>
      <c r="F53" s="136"/>
      <c r="G53" s="147"/>
      <c r="H53" s="146"/>
    </row>
    <row r="54" spans="1:8" s="132" customFormat="1" ht="15.75">
      <c r="A54" s="108"/>
      <c r="B54" s="223"/>
      <c r="C54" s="201"/>
      <c r="D54" s="148"/>
      <c r="E54" s="149">
        <f>SUM(E56:E56)</f>
        <v>0</v>
      </c>
      <c r="F54" s="136"/>
      <c r="G54" s="148"/>
      <c r="H54" s="149"/>
    </row>
    <row r="55" spans="1:8" s="132" customFormat="1" ht="15.75">
      <c r="A55" s="108"/>
      <c r="B55" s="219"/>
      <c r="C55" s="151"/>
      <c r="D55" s="150"/>
      <c r="E55" s="189"/>
      <c r="F55" s="136"/>
      <c r="G55" s="150"/>
      <c r="H55" s="151"/>
    </row>
    <row r="56" spans="1:8" s="132" customFormat="1" ht="15.75">
      <c r="A56" s="112"/>
      <c r="B56" s="224"/>
      <c r="C56" s="202"/>
      <c r="D56" s="179"/>
      <c r="E56" s="179"/>
      <c r="F56" s="136"/>
      <c r="G56" s="153"/>
      <c r="H56" s="154"/>
    </row>
    <row r="57" spans="1:8" s="132" customFormat="1" ht="15.75">
      <c r="A57" s="108"/>
      <c r="B57" s="219"/>
      <c r="C57" s="145"/>
      <c r="D57" s="144"/>
      <c r="E57" s="144"/>
      <c r="F57" s="152"/>
      <c r="G57" s="179"/>
      <c r="H57" s="145"/>
    </row>
    <row r="58" spans="1:8" s="132" customFormat="1" ht="15.75">
      <c r="A58" s="108"/>
      <c r="B58" s="78"/>
      <c r="C58" s="130"/>
      <c r="D58" s="153"/>
      <c r="E58" s="154"/>
      <c r="F58" s="136"/>
      <c r="G58" s="155"/>
      <c r="H58" s="130"/>
    </row>
    <row r="59" spans="1:8" s="132" customFormat="1" ht="15.75">
      <c r="A59" s="109"/>
      <c r="B59" s="225"/>
      <c r="C59" s="156"/>
      <c r="D59" s="156"/>
      <c r="E59" s="156"/>
      <c r="F59" s="136"/>
      <c r="G59" s="156"/>
      <c r="H59" s="156"/>
    </row>
    <row r="60" spans="1:8" s="132" customFormat="1" ht="15.75">
      <c r="A60" s="109"/>
      <c r="B60" s="226" t="s">
        <v>57</v>
      </c>
      <c r="C60" s="200">
        <v>5100</v>
      </c>
      <c r="D60" s="157" t="s">
        <v>58</v>
      </c>
      <c r="E60" s="158"/>
      <c r="F60" s="136"/>
      <c r="G60" s="157"/>
      <c r="H60" s="158"/>
    </row>
    <row r="61" spans="1:8" s="132" customFormat="1" ht="15.75">
      <c r="A61" s="109"/>
      <c r="B61" s="227"/>
      <c r="C61" s="159"/>
      <c r="D61" s="159"/>
      <c r="E61" s="159"/>
      <c r="F61" s="136"/>
      <c r="G61" s="159"/>
      <c r="H61" s="159"/>
    </row>
    <row r="62" spans="1:8" s="132" customFormat="1" ht="15.75">
      <c r="A62" s="109"/>
      <c r="B62" s="228" t="s">
        <v>59</v>
      </c>
      <c r="C62" s="204">
        <v>3000</v>
      </c>
      <c r="D62" s="194" t="s">
        <v>60</v>
      </c>
      <c r="E62" s="130"/>
      <c r="F62" s="136"/>
      <c r="G62" s="194"/>
      <c r="H62" s="130"/>
    </row>
    <row r="63" spans="1:8" s="132" customFormat="1" ht="15.75">
      <c r="A63" s="109"/>
      <c r="B63" s="229"/>
      <c r="C63" s="203"/>
      <c r="D63" s="160"/>
      <c r="E63" s="160"/>
      <c r="F63" s="136"/>
      <c r="G63" s="161"/>
      <c r="H63" s="161"/>
    </row>
    <row r="64" spans="1:8" s="132" customFormat="1" ht="15.75">
      <c r="A64" s="109"/>
      <c r="B64" s="230"/>
      <c r="C64" s="154"/>
      <c r="D64" s="162"/>
      <c r="E64" s="163"/>
      <c r="F64" s="136"/>
      <c r="G64" s="193"/>
      <c r="H64" s="154"/>
    </row>
    <row r="65" spans="1:8" s="132" customFormat="1" ht="15.75">
      <c r="A65" s="109"/>
      <c r="B65" s="230"/>
      <c r="C65" s="154"/>
      <c r="D65" s="164" t="s">
        <v>61</v>
      </c>
      <c r="E65" s="165"/>
      <c r="F65" s="136"/>
      <c r="G65" s="193"/>
      <c r="H65" s="154"/>
    </row>
    <row r="66" spans="1:8" s="132" customFormat="1" ht="15.75">
      <c r="A66" s="109"/>
      <c r="B66" s="102"/>
      <c r="C66" s="130"/>
      <c r="D66" s="166"/>
      <c r="E66" s="167"/>
      <c r="F66" s="136"/>
      <c r="G66" s="143"/>
      <c r="H66" s="130"/>
    </row>
    <row r="67" spans="1:8" s="132" customFormat="1" ht="15.75" customHeight="1">
      <c r="A67" s="109"/>
      <c r="B67" s="219"/>
      <c r="C67" s="145"/>
      <c r="D67" s="168" t="s">
        <v>62</v>
      </c>
      <c r="E67" s="169"/>
      <c r="F67" s="136"/>
      <c r="G67" s="179"/>
      <c r="H67" s="145"/>
    </row>
    <row r="68" spans="1:8" s="132" customFormat="1" ht="15.75">
      <c r="A68" s="109"/>
      <c r="B68" s="231"/>
      <c r="C68" s="192"/>
      <c r="D68" s="168" t="s">
        <v>63</v>
      </c>
      <c r="E68" s="169"/>
      <c r="F68" s="136"/>
      <c r="G68" s="191"/>
      <c r="H68" s="192"/>
    </row>
    <row r="69" spans="1:8" s="132" customFormat="1" ht="15.75">
      <c r="A69" s="109"/>
      <c r="B69" s="231"/>
      <c r="C69" s="192"/>
      <c r="D69" s="168"/>
      <c r="E69" s="169"/>
      <c r="F69" s="170"/>
      <c r="G69" s="191"/>
      <c r="H69" s="192"/>
    </row>
    <row r="70" spans="1:8" s="132" customFormat="1" ht="15.75">
      <c r="A70" s="109"/>
      <c r="B70" s="231"/>
      <c r="C70" s="192"/>
      <c r="D70" s="168"/>
      <c r="E70" s="169"/>
      <c r="F70" s="170"/>
      <c r="G70" s="191"/>
      <c r="H70" s="192"/>
    </row>
    <row r="71" spans="1:8" s="132" customFormat="1" ht="15.75">
      <c r="A71" s="109"/>
      <c r="B71" s="93"/>
      <c r="C71" s="130"/>
      <c r="D71" s="178"/>
      <c r="E71" s="144"/>
      <c r="F71" s="170"/>
      <c r="G71" s="177"/>
      <c r="H71" s="130"/>
    </row>
    <row r="72" spans="1:8" s="132" customFormat="1" ht="15.75">
      <c r="A72" s="171" t="s">
        <v>699</v>
      </c>
      <c r="B72" s="232" t="s">
        <v>699</v>
      </c>
      <c r="C72" s="173"/>
      <c r="D72" s="172" t="s">
        <v>699</v>
      </c>
      <c r="E72" s="174">
        <f>E65+E60+E54+E48</f>
        <v>0</v>
      </c>
      <c r="F72" s="175"/>
      <c r="G72" s="172" t="s">
        <v>699</v>
      </c>
      <c r="H72" s="173">
        <f>H65+H60+H54+H48+H51</f>
        <v>0</v>
      </c>
    </row>
    <row r="73" spans="5:8" ht="12.75">
      <c r="E73" s="106"/>
      <c r="F73" s="176"/>
      <c r="G73" s="106"/>
      <c r="H73" s="106"/>
    </row>
    <row r="74" spans="5:8" ht="12.75">
      <c r="E74" s="106"/>
      <c r="F74" s="176"/>
      <c r="G74" s="106"/>
      <c r="H74" s="106"/>
    </row>
    <row r="75" spans="5:8" ht="12.75">
      <c r="E75" s="106"/>
      <c r="F75" s="106"/>
      <c r="G75" s="106"/>
      <c r="H75" s="106"/>
    </row>
    <row r="76" spans="5:8" ht="12.75">
      <c r="E76" s="106"/>
      <c r="F76" s="106"/>
      <c r="G76" s="106"/>
      <c r="H76" s="106"/>
    </row>
    <row r="77" spans="5:8" ht="12.75">
      <c r="E77" s="106"/>
      <c r="F77" s="106"/>
      <c r="G77" s="106"/>
      <c r="H77" s="106"/>
    </row>
    <row r="78" spans="5:8" ht="12.75">
      <c r="E78" s="106"/>
      <c r="F78" s="106"/>
      <c r="G78" s="106"/>
      <c r="H78" s="106"/>
    </row>
    <row r="79" spans="5:8" ht="12.75">
      <c r="E79" s="106"/>
      <c r="F79" s="106"/>
      <c r="G79" s="106"/>
      <c r="H79" s="106"/>
    </row>
    <row r="80" spans="5:8" ht="12.75">
      <c r="E80" s="106"/>
      <c r="F80" s="106"/>
      <c r="G80" s="106"/>
      <c r="H80" s="106"/>
    </row>
    <row r="81" ht="12.75">
      <c r="F81" s="106"/>
    </row>
    <row r="82" ht="12.75">
      <c r="F82" s="106"/>
    </row>
    <row r="83" ht="12.75">
      <c r="F83" s="106"/>
    </row>
    <row r="84" ht="12.75">
      <c r="F84" s="106"/>
    </row>
    <row r="85" ht="12.75">
      <c r="F85" s="106"/>
    </row>
  </sheetData>
  <sheetProtection/>
  <printOptions/>
  <pageMargins left="0" right="0" top="0.5905511811023623" bottom="0" header="0.5118110236220472" footer="0.5118110236220472"/>
  <pageSetup horizontalDpi="300" verticalDpi="300"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8" sqref="A8"/>
    </sheetView>
  </sheetViews>
  <sheetFormatPr defaultColWidth="11.421875" defaultRowHeight="12.75"/>
  <sheetData>
    <row r="1" spans="1:7" ht="12.75">
      <c r="A1" s="52" t="s">
        <v>1005</v>
      </c>
      <c r="B1" s="52"/>
      <c r="C1" s="52"/>
      <c r="D1" s="52"/>
      <c r="E1" s="52"/>
      <c r="F1" s="52"/>
      <c r="G1" s="52" t="s">
        <v>1006</v>
      </c>
    </row>
    <row r="3" spans="1:7" ht="12.75">
      <c r="A3" s="802" t="s">
        <v>1007</v>
      </c>
      <c r="B3" s="802"/>
      <c r="C3" s="802"/>
      <c r="D3" s="802"/>
      <c r="E3" s="802"/>
      <c r="F3" s="802"/>
      <c r="G3" s="802"/>
    </row>
    <row r="6" spans="1:6" ht="12.75">
      <c r="A6" t="s">
        <v>1008</v>
      </c>
      <c r="F6" s="53">
        <v>34344.53</v>
      </c>
    </row>
    <row r="7" ht="12.75">
      <c r="F7" s="53"/>
    </row>
    <row r="8" ht="12.75">
      <c r="F8" s="53"/>
    </row>
    <row r="9" ht="12.75">
      <c r="F9" s="53"/>
    </row>
    <row r="10" spans="1:6" ht="12.75">
      <c r="A10" t="s">
        <v>1009</v>
      </c>
      <c r="F10" s="53">
        <f>D12+D13</f>
        <v>13712.73</v>
      </c>
    </row>
    <row r="11" ht="12.75">
      <c r="F11" s="53"/>
    </row>
    <row r="12" spans="1:6" ht="12.75">
      <c r="A12" t="s">
        <v>1010</v>
      </c>
      <c r="D12" s="53">
        <v>480</v>
      </c>
      <c r="F12" s="53"/>
    </row>
    <row r="13" spans="1:6" ht="12.75">
      <c r="A13" t="s">
        <v>1011</v>
      </c>
      <c r="D13" s="53">
        <v>13232.73</v>
      </c>
      <c r="F13" s="53"/>
    </row>
    <row r="14" spans="4:6" ht="12.75">
      <c r="D14" s="53"/>
      <c r="F14" s="53"/>
    </row>
    <row r="15" spans="4:6" ht="12.75">
      <c r="D15" s="53"/>
      <c r="F15" s="53"/>
    </row>
    <row r="16" spans="4:6" ht="12.75">
      <c r="D16" s="53"/>
      <c r="F16" s="53"/>
    </row>
    <row r="17" spans="1:6" ht="12.75">
      <c r="A17" t="s">
        <v>1012</v>
      </c>
      <c r="D17" s="53"/>
      <c r="F17" s="197">
        <f>SUM(F6:F16)</f>
        <v>48057.259999999995</v>
      </c>
    </row>
    <row r="18" spans="4:6" ht="12.75">
      <c r="D18" s="53"/>
      <c r="F18" s="53"/>
    </row>
    <row r="19" spans="4:6" ht="12.75">
      <c r="D19" s="53"/>
      <c r="F19" s="53"/>
    </row>
    <row r="20" spans="4:6" ht="12.75">
      <c r="D20" s="53"/>
      <c r="F20" s="53"/>
    </row>
    <row r="21" spans="1:7" ht="12.75">
      <c r="A21" s="52" t="s">
        <v>1005</v>
      </c>
      <c r="B21" s="52"/>
      <c r="C21" s="52"/>
      <c r="D21" s="52"/>
      <c r="E21" s="52"/>
      <c r="F21" s="52"/>
      <c r="G21" s="52" t="s">
        <v>1006</v>
      </c>
    </row>
    <row r="23" spans="1:7" ht="12.75">
      <c r="A23" s="802" t="s">
        <v>1007</v>
      </c>
      <c r="B23" s="802"/>
      <c r="C23" s="802"/>
      <c r="D23" s="802"/>
      <c r="E23" s="802"/>
      <c r="F23" s="802"/>
      <c r="G23" s="802"/>
    </row>
    <row r="26" spans="1:6" ht="12.75">
      <c r="A26" t="s">
        <v>1013</v>
      </c>
      <c r="F26" s="53">
        <v>32851.62</v>
      </c>
    </row>
    <row r="27" ht="12.75">
      <c r="F27" s="53"/>
    </row>
    <row r="28" ht="12.75">
      <c r="F28" s="53"/>
    </row>
    <row r="29" ht="12.75">
      <c r="F29" s="53"/>
    </row>
    <row r="30" spans="1:6" ht="12.75">
      <c r="A30" t="s">
        <v>1009</v>
      </c>
      <c r="F30" s="53">
        <f>D32+D33</f>
        <v>0</v>
      </c>
    </row>
    <row r="31" ht="12.75">
      <c r="F31" s="53"/>
    </row>
    <row r="32" spans="4:6" ht="12.75">
      <c r="D32" s="53"/>
      <c r="F32" s="53"/>
    </row>
    <row r="33" spans="4:6" ht="12.75">
      <c r="D33" s="53"/>
      <c r="F33" s="53"/>
    </row>
    <row r="34" spans="4:6" ht="12.75">
      <c r="D34" s="53"/>
      <c r="F34" s="53"/>
    </row>
    <row r="35" spans="4:6" ht="12.75">
      <c r="D35" s="53"/>
      <c r="F35" s="53"/>
    </row>
    <row r="36" spans="4:6" ht="12.75">
      <c r="D36" s="53"/>
      <c r="F36" s="53"/>
    </row>
    <row r="37" spans="1:6" ht="12.75">
      <c r="A37" t="s">
        <v>1014</v>
      </c>
      <c r="D37" s="53"/>
      <c r="F37" s="197">
        <f>SUM(F26:F36)</f>
        <v>32851.62</v>
      </c>
    </row>
    <row r="38" spans="4:6" ht="12.75">
      <c r="D38" s="53"/>
      <c r="F38" s="5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zoomScale="125" zoomScaleNormal="125" zoomScalePageLayoutView="0" workbookViewId="0" topLeftCell="A1">
      <selection activeCell="H18" sqref="H18"/>
    </sheetView>
  </sheetViews>
  <sheetFormatPr defaultColWidth="11.421875" defaultRowHeight="12.75"/>
  <cols>
    <col min="1" max="16384" width="10.8515625" style="610" customWidth="1"/>
  </cols>
  <sheetData>
    <row r="1" spans="1:9" ht="16.5" customHeight="1">
      <c r="A1" s="694">
        <v>2015</v>
      </c>
      <c r="B1" s="888" t="s">
        <v>64</v>
      </c>
      <c r="C1" s="888"/>
      <c r="D1" s="888" t="s">
        <v>65</v>
      </c>
      <c r="E1" s="888"/>
      <c r="F1" s="888" t="s">
        <v>66</v>
      </c>
      <c r="G1" s="888"/>
      <c r="H1" s="888"/>
      <c r="I1" s="888"/>
    </row>
    <row r="2" spans="1:9" ht="16.5" customHeight="1">
      <c r="A2" s="249" t="s">
        <v>10</v>
      </c>
      <c r="B2" s="694" t="s">
        <v>67</v>
      </c>
      <c r="C2" s="694" t="s">
        <v>68</v>
      </c>
      <c r="D2" s="694" t="s">
        <v>67</v>
      </c>
      <c r="E2" s="694" t="s">
        <v>68</v>
      </c>
      <c r="F2" s="694" t="s">
        <v>67</v>
      </c>
      <c r="G2" s="694" t="s">
        <v>68</v>
      </c>
      <c r="H2" s="694" t="s">
        <v>67</v>
      </c>
      <c r="I2" s="694" t="s">
        <v>68</v>
      </c>
    </row>
    <row r="3" spans="1:9" ht="16.5" customHeight="1">
      <c r="A3" s="249" t="s">
        <v>13</v>
      </c>
      <c r="B3" s="294">
        <f>nov14!H20</f>
        <v>593.22</v>
      </c>
      <c r="C3" s="294">
        <f>nov14!P20</f>
        <v>187.9000000000001</v>
      </c>
      <c r="D3" s="294">
        <f>nov14!U20</f>
        <v>593.22</v>
      </c>
      <c r="E3" s="294">
        <f>nov14!AC20</f>
        <v>187.9</v>
      </c>
      <c r="F3" s="695">
        <f>B3-D3</f>
        <v>0</v>
      </c>
      <c r="G3" s="695">
        <f>C3-E3</f>
        <v>0</v>
      </c>
      <c r="H3" s="696" t="str">
        <f>IF(F3=0,"OK","A revoir")</f>
        <v>OK</v>
      </c>
      <c r="I3" s="696" t="str">
        <f>IF(G3=0,"OK","A revoir")</f>
        <v>OK</v>
      </c>
    </row>
    <row r="4" spans="1:9" ht="16.5" customHeight="1">
      <c r="A4" s="249" t="s">
        <v>14</v>
      </c>
      <c r="B4" s="294">
        <f>'Déc 14'!H23</f>
        <v>3046.2999999999993</v>
      </c>
      <c r="C4" s="294">
        <f>'Déc 14'!P23</f>
        <v>6603.610000000001</v>
      </c>
      <c r="D4" s="294">
        <f>'Déc 14'!U23</f>
        <v>3046.3</v>
      </c>
      <c r="E4" s="294">
        <f>'Déc 14'!AD23</f>
        <v>6603.610000000001</v>
      </c>
      <c r="F4" s="695">
        <f aca="true" t="shared" si="0" ref="F4:F14">B4-D4</f>
        <v>0</v>
      </c>
      <c r="G4" s="695">
        <f aca="true" t="shared" si="1" ref="G4:G14">C4-E4</f>
        <v>0</v>
      </c>
      <c r="H4" s="696" t="str">
        <f aca="true" t="shared" si="2" ref="H4:H14">IF(F4=0,"OK","A revoir")</f>
        <v>OK</v>
      </c>
      <c r="I4" s="696" t="str">
        <f aca="true" t="shared" si="3" ref="I4:I14">IF(G4=0,"OK","A revoir")</f>
        <v>OK</v>
      </c>
    </row>
    <row r="5" spans="1:9" ht="16.5" customHeight="1">
      <c r="A5" s="249" t="s">
        <v>15</v>
      </c>
      <c r="B5" s="294">
        <f>Jan15!H21</f>
        <v>1663.75</v>
      </c>
      <c r="C5" s="294">
        <f>Jan15!P21</f>
        <v>2893.5299999999997</v>
      </c>
      <c r="D5" s="294">
        <f>Jan15!U21</f>
        <v>1663.75</v>
      </c>
      <c r="E5" s="294">
        <f>Jan15!AD21</f>
        <v>2893.53</v>
      </c>
      <c r="F5" s="695">
        <f t="shared" si="0"/>
        <v>0</v>
      </c>
      <c r="G5" s="695">
        <f t="shared" si="1"/>
        <v>0</v>
      </c>
      <c r="H5" s="696" t="str">
        <f t="shared" si="2"/>
        <v>OK</v>
      </c>
      <c r="I5" s="696" t="str">
        <f t="shared" si="3"/>
        <v>OK</v>
      </c>
    </row>
    <row r="6" spans="1:9" ht="16.5" customHeight="1">
      <c r="A6" s="249" t="s">
        <v>16</v>
      </c>
      <c r="B6" s="294">
        <f>Fév15!H20</f>
        <v>1358.31</v>
      </c>
      <c r="C6" s="294">
        <f>Fév15!O20</f>
        <v>2808.59</v>
      </c>
      <c r="D6" s="294">
        <f>Fév15!U20</f>
        <v>1358.31</v>
      </c>
      <c r="E6" s="294">
        <f>Fév15!AD20</f>
        <v>2808.59</v>
      </c>
      <c r="F6" s="695">
        <f t="shared" si="0"/>
        <v>0</v>
      </c>
      <c r="G6" s="695">
        <f t="shared" si="1"/>
        <v>0</v>
      </c>
      <c r="H6" s="696" t="str">
        <f t="shared" si="2"/>
        <v>OK</v>
      </c>
      <c r="I6" s="696" t="str">
        <f t="shared" si="3"/>
        <v>OK</v>
      </c>
    </row>
    <row r="7" spans="1:9" ht="16.5" customHeight="1">
      <c r="A7" s="249" t="s">
        <v>17</v>
      </c>
      <c r="B7" s="294">
        <f>Mars15!H20</f>
        <v>1835.1100000000001</v>
      </c>
      <c r="C7" s="294">
        <f>Mars15!O20</f>
        <v>3523.99</v>
      </c>
      <c r="D7" s="294">
        <f>Mars15!U20</f>
        <v>1835.1100000000001</v>
      </c>
      <c r="E7" s="294">
        <f>Mars15!AD20</f>
        <v>3523.99</v>
      </c>
      <c r="F7" s="695">
        <f t="shared" si="0"/>
        <v>0</v>
      </c>
      <c r="G7" s="695">
        <f t="shared" si="1"/>
        <v>0</v>
      </c>
      <c r="H7" s="696" t="str">
        <f t="shared" si="2"/>
        <v>OK</v>
      </c>
      <c r="I7" s="696" t="str">
        <f t="shared" si="3"/>
        <v>OK</v>
      </c>
    </row>
    <row r="8" spans="1:9" ht="16.5" customHeight="1">
      <c r="A8" s="249" t="s">
        <v>18</v>
      </c>
      <c r="B8" s="294">
        <f>avr15!H29</f>
        <v>6227.63</v>
      </c>
      <c r="C8" s="294">
        <f>avr15!P29</f>
        <v>8243.619999999999</v>
      </c>
      <c r="D8" s="294">
        <f>avr15!V29</f>
        <v>6227.63</v>
      </c>
      <c r="E8" s="294">
        <f>avr15!AC29</f>
        <v>8243.619999999999</v>
      </c>
      <c r="F8" s="695">
        <f t="shared" si="0"/>
        <v>0</v>
      </c>
      <c r="G8" s="695">
        <f t="shared" si="1"/>
        <v>0</v>
      </c>
      <c r="H8" s="696" t="str">
        <f t="shared" si="2"/>
        <v>OK</v>
      </c>
      <c r="I8" s="696" t="str">
        <f t="shared" si="3"/>
        <v>OK</v>
      </c>
    </row>
    <row r="9" spans="1:9" ht="16.5" customHeight="1">
      <c r="A9" s="249" t="s">
        <v>19</v>
      </c>
      <c r="B9" s="294">
        <f>Mai15!H45</f>
        <v>3872.39</v>
      </c>
      <c r="C9" s="294">
        <f>Mai15!P45</f>
        <v>1848.32</v>
      </c>
      <c r="D9" s="294">
        <f>Mai15!U45</f>
        <v>3872.39</v>
      </c>
      <c r="E9" s="294">
        <f>Mai15!AD45</f>
        <v>1848.32</v>
      </c>
      <c r="F9" s="695">
        <f t="shared" si="0"/>
        <v>0</v>
      </c>
      <c r="G9" s="695">
        <f t="shared" si="1"/>
        <v>0</v>
      </c>
      <c r="H9" s="696" t="str">
        <f>IF(F9=0,"OK","A revoir")</f>
        <v>OK</v>
      </c>
      <c r="I9" s="696" t="str">
        <f t="shared" si="3"/>
        <v>OK</v>
      </c>
    </row>
    <row r="10" spans="1:9" ht="16.5" customHeight="1">
      <c r="A10" s="249" t="s">
        <v>20</v>
      </c>
      <c r="B10" s="294">
        <f>Juin15!H83</f>
        <v>5669.04</v>
      </c>
      <c r="C10" s="294">
        <f>Juin15!P83</f>
        <v>8145.470000000001</v>
      </c>
      <c r="D10" s="294">
        <f>Juin15!U83</f>
        <v>5669.040000000001</v>
      </c>
      <c r="E10" s="294">
        <f>Juin15!AC83</f>
        <v>8145.47</v>
      </c>
      <c r="F10" s="695">
        <f t="shared" si="0"/>
        <v>0</v>
      </c>
      <c r="G10" s="695">
        <f t="shared" si="1"/>
        <v>0</v>
      </c>
      <c r="H10" s="696" t="str">
        <f t="shared" si="2"/>
        <v>OK</v>
      </c>
      <c r="I10" s="696" t="str">
        <f t="shared" si="3"/>
        <v>OK</v>
      </c>
    </row>
    <row r="11" spans="1:9" ht="16.5" customHeight="1">
      <c r="A11" s="249" t="s">
        <v>21</v>
      </c>
      <c r="B11" s="294">
        <f>JuiL15!H88</f>
        <v>5250.200000000001</v>
      </c>
      <c r="C11" s="294">
        <f>JuiL15!P88</f>
        <v>6546.59</v>
      </c>
      <c r="D11" s="294">
        <f>JuiL15!U88</f>
        <v>5250.2</v>
      </c>
      <c r="E11" s="294">
        <f>JuiL15!AD88</f>
        <v>6546.59</v>
      </c>
      <c r="F11" s="695">
        <f t="shared" si="0"/>
        <v>0</v>
      </c>
      <c r="G11" s="695">
        <f t="shared" si="1"/>
        <v>0</v>
      </c>
      <c r="H11" s="696" t="str">
        <f t="shared" si="2"/>
        <v>OK</v>
      </c>
      <c r="I11" s="696" t="str">
        <f t="shared" si="3"/>
        <v>OK</v>
      </c>
    </row>
    <row r="12" spans="1:9" ht="16.5" customHeight="1">
      <c r="A12" s="249" t="s">
        <v>22</v>
      </c>
      <c r="B12" s="294">
        <f>Août15!H104</f>
        <v>3395.09</v>
      </c>
      <c r="C12" s="294">
        <f>Août15!P104</f>
        <v>2657.3999999999996</v>
      </c>
      <c r="D12" s="294">
        <f>Août15!U104</f>
        <v>3395.09</v>
      </c>
      <c r="E12" s="294">
        <f>Août15!AC104</f>
        <v>2657.3999999999996</v>
      </c>
      <c r="F12" s="695">
        <f t="shared" si="0"/>
        <v>0</v>
      </c>
      <c r="G12" s="695">
        <f t="shared" si="1"/>
        <v>0</v>
      </c>
      <c r="H12" s="696" t="str">
        <f t="shared" si="2"/>
        <v>OK</v>
      </c>
      <c r="I12" s="696" t="str">
        <f t="shared" si="3"/>
        <v>OK</v>
      </c>
    </row>
    <row r="13" spans="1:9" ht="16.5" customHeight="1">
      <c r="A13" s="249" t="s">
        <v>23</v>
      </c>
      <c r="B13" s="294">
        <f>Sept15!H42</f>
        <v>7669.23</v>
      </c>
      <c r="C13" s="294">
        <f>Sept15!P42</f>
        <v>1302.42</v>
      </c>
      <c r="D13" s="294">
        <f>Sept15!U42</f>
        <v>7669.23</v>
      </c>
      <c r="E13" s="294">
        <f>Sept15!AD42</f>
        <v>1302.42</v>
      </c>
      <c r="F13" s="695">
        <f t="shared" si="0"/>
        <v>0</v>
      </c>
      <c r="G13" s="695">
        <f t="shared" si="1"/>
        <v>0</v>
      </c>
      <c r="H13" s="696" t="str">
        <f t="shared" si="2"/>
        <v>OK</v>
      </c>
      <c r="I13" s="696" t="str">
        <f t="shared" si="3"/>
        <v>OK</v>
      </c>
    </row>
    <row r="14" spans="1:9" ht="16.5" customHeight="1">
      <c r="A14" s="249" t="s">
        <v>24</v>
      </c>
      <c r="B14" s="294">
        <f>Oct15!H49</f>
        <v>6286.8</v>
      </c>
      <c r="C14" s="294">
        <f>Oct15!P49</f>
        <v>4283.5</v>
      </c>
      <c r="D14" s="294">
        <f>Oct15!V49</f>
        <v>6286.799999999999</v>
      </c>
      <c r="E14" s="294">
        <f>Oct15!AC49</f>
        <v>4283.5</v>
      </c>
      <c r="F14" s="695">
        <f t="shared" si="0"/>
        <v>0</v>
      </c>
      <c r="G14" s="695">
        <f t="shared" si="1"/>
        <v>0</v>
      </c>
      <c r="H14" s="696" t="str">
        <f t="shared" si="2"/>
        <v>OK</v>
      </c>
      <c r="I14" s="696" t="str">
        <f t="shared" si="3"/>
        <v>OK</v>
      </c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39"/>
  <sheetViews>
    <sheetView zoomScale="150" zoomScaleNormal="150" zoomScalePageLayoutView="0" workbookViewId="0" topLeftCell="E1">
      <pane ySplit="7" topLeftCell="A8" activePane="bottomLeft" state="frozen"/>
      <selection pane="topLeft" activeCell="A1" sqref="A1"/>
      <selection pane="bottomLeft" activeCell="D15" sqref="D15"/>
    </sheetView>
  </sheetViews>
  <sheetFormatPr defaultColWidth="11.7109375" defaultRowHeight="12.75"/>
  <cols>
    <col min="1" max="1" width="11.7109375" style="250" customWidth="1"/>
    <col min="2" max="2" width="18.7109375" style="241" customWidth="1"/>
    <col min="3" max="3" width="40.7109375" style="388" customWidth="1"/>
    <col min="4" max="4" width="11.421875" style="246" customWidth="1"/>
    <col min="5" max="7" width="4.140625" style="240" customWidth="1"/>
    <col min="8" max="9" width="12.7109375" style="244" customWidth="1"/>
    <col min="10" max="17" width="12.7109375" style="243" customWidth="1"/>
    <col min="18" max="18" width="10.7109375" style="243" customWidth="1"/>
    <col min="19" max="19" width="13.28125" style="243" customWidth="1"/>
    <col min="20" max="24" width="10.7109375" style="243" customWidth="1"/>
    <col min="25" max="25" width="10.7109375" style="252" customWidth="1"/>
    <col min="26" max="26" width="10.7109375" style="243" customWidth="1"/>
    <col min="27" max="27" width="10.7109375" style="250" customWidth="1"/>
    <col min="28" max="28" width="10.7109375" style="390" customWidth="1"/>
    <col min="29" max="32" width="10.7109375" style="250" customWidth="1"/>
    <col min="33" max="35" width="11.7109375" style="250" customWidth="1"/>
    <col min="36" max="36" width="21.00390625" style="250" customWidth="1"/>
    <col min="37" max="37" width="29.8515625" style="250" customWidth="1"/>
    <col min="38" max="16384" width="11.7109375" style="250" customWidth="1"/>
  </cols>
  <sheetData>
    <row r="1" spans="2:37" s="240" customFormat="1" ht="16.5" customHeight="1">
      <c r="B1" s="241"/>
      <c r="C1" s="2" t="s">
        <v>1015</v>
      </c>
      <c r="D1" s="242"/>
      <c r="H1" s="243" t="s">
        <v>1016</v>
      </c>
      <c r="I1" s="244"/>
      <c r="J1" s="245" t="s">
        <v>1017</v>
      </c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7"/>
      <c r="Z1" s="245" t="s">
        <v>1017</v>
      </c>
      <c r="AB1" s="248"/>
      <c r="AJ1" s="249" t="s">
        <v>969</v>
      </c>
      <c r="AK1" s="249" t="s">
        <v>970</v>
      </c>
    </row>
    <row r="2" spans="2:37" ht="12" customHeight="1" thickBot="1">
      <c r="B2" s="250"/>
      <c r="C2" s="251"/>
      <c r="D2" s="250"/>
      <c r="H2" s="243"/>
      <c r="I2" s="243"/>
      <c r="AB2" s="248"/>
      <c r="AJ2" s="253" t="s">
        <v>971</v>
      </c>
      <c r="AK2" s="254" t="s">
        <v>972</v>
      </c>
    </row>
    <row r="3" spans="3:37" s="255" customFormat="1" ht="18.75" customHeight="1" thickBot="1">
      <c r="C3" s="256"/>
      <c r="D3" s="257"/>
      <c r="E3" s="809" t="s">
        <v>1018</v>
      </c>
      <c r="F3" s="810"/>
      <c r="G3" s="811"/>
      <c r="H3" s="258"/>
      <c r="I3" s="258"/>
      <c r="J3" s="258"/>
      <c r="K3" s="258">
        <v>15080.27</v>
      </c>
      <c r="L3" s="258"/>
      <c r="M3" s="258">
        <v>50875.41</v>
      </c>
      <c r="N3" s="258"/>
      <c r="O3" s="258">
        <v>76861.54</v>
      </c>
      <c r="P3" s="258"/>
      <c r="Q3" s="258">
        <v>115.16</v>
      </c>
      <c r="R3" s="258">
        <v>0</v>
      </c>
      <c r="S3" s="258">
        <v>0</v>
      </c>
      <c r="T3" s="258">
        <v>0</v>
      </c>
      <c r="U3" s="258">
        <v>0</v>
      </c>
      <c r="V3" s="258">
        <v>0</v>
      </c>
      <c r="W3" s="258">
        <v>0</v>
      </c>
      <c r="X3" s="551">
        <v>0</v>
      </c>
      <c r="Y3" s="258">
        <v>0</v>
      </c>
      <c r="Z3" s="258">
        <v>0</v>
      </c>
      <c r="AA3" s="555">
        <v>0</v>
      </c>
      <c r="AB3" s="258">
        <v>0</v>
      </c>
      <c r="AC3" s="258">
        <v>0</v>
      </c>
      <c r="AD3" s="258">
        <v>0</v>
      </c>
      <c r="AE3" s="258">
        <v>0</v>
      </c>
      <c r="AF3" s="258">
        <v>0</v>
      </c>
      <c r="AJ3" s="259" t="s">
        <v>973</v>
      </c>
      <c r="AK3" s="260" t="s">
        <v>974</v>
      </c>
    </row>
    <row r="4" spans="2:37" s="255" customFormat="1" ht="14.25" customHeight="1" thickBot="1">
      <c r="B4" s="261"/>
      <c r="C4" s="256"/>
      <c r="D4" s="257"/>
      <c r="E4" s="240"/>
      <c r="F4" s="240"/>
      <c r="G4" s="240"/>
      <c r="H4" s="803" t="s">
        <v>1019</v>
      </c>
      <c r="I4" s="804"/>
      <c r="J4" s="812"/>
      <c r="K4" s="812"/>
      <c r="L4" s="812"/>
      <c r="M4" s="812"/>
      <c r="N4" s="812"/>
      <c r="O4" s="812"/>
      <c r="P4" s="812"/>
      <c r="Q4" s="813"/>
      <c r="R4" s="818" t="s">
        <v>1020</v>
      </c>
      <c r="S4" s="819"/>
      <c r="T4" s="819"/>
      <c r="U4" s="819"/>
      <c r="V4" s="819"/>
      <c r="W4" s="819"/>
      <c r="X4" s="819"/>
      <c r="Y4" s="830">
        <v>58</v>
      </c>
      <c r="Z4" s="831"/>
      <c r="AA4" s="814" t="s">
        <v>1021</v>
      </c>
      <c r="AB4" s="815"/>
      <c r="AC4" s="815"/>
      <c r="AD4" s="815"/>
      <c r="AE4" s="815"/>
      <c r="AF4" s="804"/>
      <c r="AJ4" s="259" t="s">
        <v>979</v>
      </c>
      <c r="AK4" s="260" t="s">
        <v>980</v>
      </c>
    </row>
    <row r="5" spans="2:37" s="262" customFormat="1" ht="12.75" customHeight="1">
      <c r="B5" s="263"/>
      <c r="C5" s="256"/>
      <c r="D5" s="264"/>
      <c r="E5" s="265"/>
      <c r="F5" s="265"/>
      <c r="G5" s="265"/>
      <c r="H5" s="805"/>
      <c r="I5" s="806"/>
      <c r="J5" s="824" t="s">
        <v>1022</v>
      </c>
      <c r="K5" s="825"/>
      <c r="L5" s="828" t="s">
        <v>1023</v>
      </c>
      <c r="M5" s="825"/>
      <c r="N5" s="828" t="s">
        <v>1024</v>
      </c>
      <c r="O5" s="825"/>
      <c r="P5" s="828" t="s">
        <v>1025</v>
      </c>
      <c r="Q5" s="825"/>
      <c r="R5" s="820"/>
      <c r="S5" s="821"/>
      <c r="T5" s="821"/>
      <c r="U5" s="821"/>
      <c r="V5" s="821"/>
      <c r="W5" s="821"/>
      <c r="X5" s="821"/>
      <c r="Y5" s="266" t="s">
        <v>1026</v>
      </c>
      <c r="Z5" s="267" t="s">
        <v>1026</v>
      </c>
      <c r="AA5" s="816"/>
      <c r="AB5" s="610"/>
      <c r="AC5" s="610"/>
      <c r="AD5" s="610"/>
      <c r="AE5" s="610"/>
      <c r="AF5" s="806"/>
      <c r="AJ5" s="259" t="s">
        <v>981</v>
      </c>
      <c r="AK5" s="260" t="s">
        <v>982</v>
      </c>
    </row>
    <row r="6" spans="2:37" ht="13.5" customHeight="1" thickBot="1">
      <c r="B6" s="268"/>
      <c r="C6" s="251"/>
      <c r="D6" s="268"/>
      <c r="E6" s="265"/>
      <c r="F6" s="265"/>
      <c r="G6" s="265"/>
      <c r="H6" s="807"/>
      <c r="I6" s="808"/>
      <c r="J6" s="826"/>
      <c r="K6" s="827"/>
      <c r="L6" s="829"/>
      <c r="M6" s="827"/>
      <c r="N6" s="829"/>
      <c r="O6" s="827"/>
      <c r="P6" s="829"/>
      <c r="Q6" s="827"/>
      <c r="R6" s="822"/>
      <c r="S6" s="823"/>
      <c r="T6" s="823"/>
      <c r="U6" s="823"/>
      <c r="V6" s="823"/>
      <c r="W6" s="823"/>
      <c r="X6" s="823"/>
      <c r="Y6" s="269" t="s">
        <v>1027</v>
      </c>
      <c r="Z6" s="269" t="s">
        <v>1027</v>
      </c>
      <c r="AA6" s="817"/>
      <c r="AB6" s="817"/>
      <c r="AC6" s="817"/>
      <c r="AD6" s="817"/>
      <c r="AE6" s="817"/>
      <c r="AF6" s="808"/>
      <c r="AJ6" s="259" t="s">
        <v>987</v>
      </c>
      <c r="AK6" s="260" t="s">
        <v>988</v>
      </c>
    </row>
    <row r="7" spans="1:232" s="9" customFormat="1" ht="22.5" customHeight="1">
      <c r="A7" s="181" t="s">
        <v>1028</v>
      </c>
      <c r="B7" s="180" t="s">
        <v>1029</v>
      </c>
      <c r="C7" s="4" t="s">
        <v>970</v>
      </c>
      <c r="D7" s="5" t="s">
        <v>1030</v>
      </c>
      <c r="E7" s="3" t="s">
        <v>1031</v>
      </c>
      <c r="F7" s="3" t="s">
        <v>1032</v>
      </c>
      <c r="G7" s="3" t="s">
        <v>1033</v>
      </c>
      <c r="H7" s="6" t="s">
        <v>1034</v>
      </c>
      <c r="I7" s="7" t="s">
        <v>1035</v>
      </c>
      <c r="J7" s="8" t="s">
        <v>1036</v>
      </c>
      <c r="K7" s="9" t="s">
        <v>1037</v>
      </c>
      <c r="L7" s="8" t="s">
        <v>1036</v>
      </c>
      <c r="M7" s="9" t="s">
        <v>1037</v>
      </c>
      <c r="N7" s="8" t="s">
        <v>1036</v>
      </c>
      <c r="O7" s="9" t="s">
        <v>1037</v>
      </c>
      <c r="P7" s="8" t="s">
        <v>1036</v>
      </c>
      <c r="Q7" s="9" t="s">
        <v>1037</v>
      </c>
      <c r="R7" s="5" t="s">
        <v>1038</v>
      </c>
      <c r="S7" s="5" t="s">
        <v>1039</v>
      </c>
      <c r="T7" s="5" t="s">
        <v>1040</v>
      </c>
      <c r="U7" s="5" t="s">
        <v>1041</v>
      </c>
      <c r="V7" s="5" t="s">
        <v>1042</v>
      </c>
      <c r="W7" s="5" t="s">
        <v>1043</v>
      </c>
      <c r="X7" s="552" t="s">
        <v>1044</v>
      </c>
      <c r="Y7" s="557" t="s">
        <v>1026</v>
      </c>
      <c r="Z7" s="558" t="s">
        <v>1026</v>
      </c>
      <c r="AA7" s="65" t="s">
        <v>1045</v>
      </c>
      <c r="AB7" s="5" t="s">
        <v>1046</v>
      </c>
      <c r="AC7" s="5" t="s">
        <v>1047</v>
      </c>
      <c r="AD7" s="5" t="s">
        <v>1048</v>
      </c>
      <c r="AE7" s="5" t="s">
        <v>1049</v>
      </c>
      <c r="AF7" s="5" t="s">
        <v>1050</v>
      </c>
      <c r="AG7" s="10"/>
      <c r="AH7" s="10"/>
      <c r="AI7" s="10"/>
      <c r="AJ7" s="259" t="s">
        <v>989</v>
      </c>
      <c r="AK7" s="260" t="s">
        <v>990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</row>
    <row r="8" spans="1:37" ht="18.75" customHeight="1">
      <c r="A8" s="270">
        <v>39756</v>
      </c>
      <c r="B8" s="283" t="s">
        <v>1051</v>
      </c>
      <c r="C8" s="271" t="s">
        <v>1052</v>
      </c>
      <c r="D8" s="272" t="s">
        <v>1053</v>
      </c>
      <c r="E8" s="273"/>
      <c r="F8" s="273"/>
      <c r="G8" s="273" t="s">
        <v>1054</v>
      </c>
      <c r="H8" s="274">
        <f>J8+L8+N8+P8</f>
        <v>15.3</v>
      </c>
      <c r="I8" s="274">
        <f>K8+M8+O8+Q8</f>
        <v>0</v>
      </c>
      <c r="J8" s="275">
        <v>15.3</v>
      </c>
      <c r="K8" s="276"/>
      <c r="L8" s="277"/>
      <c r="M8" s="278"/>
      <c r="N8" s="391"/>
      <c r="O8" s="392"/>
      <c r="P8" s="279"/>
      <c r="Q8" s="280"/>
      <c r="R8" s="195"/>
      <c r="S8" s="195">
        <v>15.3</v>
      </c>
      <c r="T8" s="195"/>
      <c r="U8" s="195"/>
      <c r="V8" s="195"/>
      <c r="W8" s="195"/>
      <c r="X8" s="553"/>
      <c r="Y8" s="559"/>
      <c r="Z8" s="560"/>
      <c r="AA8" s="281"/>
      <c r="AB8" s="282"/>
      <c r="AC8" s="282"/>
      <c r="AD8" s="282"/>
      <c r="AE8" s="282"/>
      <c r="AF8" s="282"/>
      <c r="AJ8" s="259" t="s">
        <v>993</v>
      </c>
      <c r="AK8" s="284" t="s">
        <v>994</v>
      </c>
    </row>
    <row r="9" spans="1:37" ht="18.75" customHeight="1">
      <c r="A9" s="270">
        <v>39759</v>
      </c>
      <c r="B9" s="285" t="s">
        <v>1055</v>
      </c>
      <c r="C9" s="286" t="s">
        <v>1055</v>
      </c>
      <c r="D9" s="287" t="s">
        <v>1053</v>
      </c>
      <c r="E9" s="273"/>
      <c r="F9" s="273"/>
      <c r="G9" s="273" t="s">
        <v>1054</v>
      </c>
      <c r="H9" s="274">
        <f aca="true" t="shared" si="0" ref="H9:H17">J9+L9+N9+P9</f>
        <v>0.05</v>
      </c>
      <c r="I9" s="274">
        <f aca="true" t="shared" si="1" ref="I9:I17">K9+M9+O9+Q9</f>
        <v>0</v>
      </c>
      <c r="J9" s="288">
        <v>0.05</v>
      </c>
      <c r="K9" s="276"/>
      <c r="L9" s="277"/>
      <c r="M9" s="278"/>
      <c r="N9" s="391"/>
      <c r="O9" s="392"/>
      <c r="P9" s="279"/>
      <c r="Q9" s="280"/>
      <c r="R9" s="195"/>
      <c r="S9" s="195"/>
      <c r="T9" s="195">
        <v>0.05</v>
      </c>
      <c r="U9" s="195"/>
      <c r="V9" s="195"/>
      <c r="W9" s="195"/>
      <c r="X9" s="553"/>
      <c r="Y9" s="559"/>
      <c r="Z9" s="560"/>
      <c r="AA9" s="281"/>
      <c r="AB9" s="282"/>
      <c r="AC9" s="282"/>
      <c r="AD9" s="282"/>
      <c r="AE9" s="282"/>
      <c r="AF9" s="282"/>
      <c r="AJ9" s="259" t="s">
        <v>995</v>
      </c>
      <c r="AK9" s="260" t="s">
        <v>996</v>
      </c>
    </row>
    <row r="10" spans="1:37" ht="18.75" customHeight="1">
      <c r="A10" s="270">
        <v>39759</v>
      </c>
      <c r="B10" s="289" t="s">
        <v>1055</v>
      </c>
      <c r="C10" s="271" t="s">
        <v>1055</v>
      </c>
      <c r="D10" s="272" t="s">
        <v>1053</v>
      </c>
      <c r="E10" s="273"/>
      <c r="F10" s="273"/>
      <c r="G10" s="273" t="s">
        <v>1054</v>
      </c>
      <c r="H10" s="274">
        <f t="shared" si="0"/>
        <v>31.98</v>
      </c>
      <c r="I10" s="274">
        <f t="shared" si="1"/>
        <v>0</v>
      </c>
      <c r="J10" s="288">
        <v>31.98</v>
      </c>
      <c r="K10" s="276"/>
      <c r="L10" s="277"/>
      <c r="M10" s="278"/>
      <c r="N10" s="391"/>
      <c r="O10" s="392"/>
      <c r="P10" s="279"/>
      <c r="Q10" s="280"/>
      <c r="R10" s="195"/>
      <c r="S10" s="195"/>
      <c r="T10" s="195">
        <v>31.98</v>
      </c>
      <c r="U10" s="195"/>
      <c r="V10" s="195"/>
      <c r="W10" s="195"/>
      <c r="X10" s="553"/>
      <c r="Y10" s="559"/>
      <c r="Z10" s="560"/>
      <c r="AA10" s="281"/>
      <c r="AB10" s="282"/>
      <c r="AC10" s="282"/>
      <c r="AD10" s="282"/>
      <c r="AE10" s="282"/>
      <c r="AF10" s="282"/>
      <c r="AJ10" s="290" t="s">
        <v>997</v>
      </c>
      <c r="AK10" s="291" t="s">
        <v>998</v>
      </c>
    </row>
    <row r="11" spans="1:37" s="268" customFormat="1" ht="18.75" customHeight="1">
      <c r="A11" s="270">
        <v>39762</v>
      </c>
      <c r="B11" s="292" t="s">
        <v>989</v>
      </c>
      <c r="C11" s="286" t="s">
        <v>1056</v>
      </c>
      <c r="D11" s="287" t="s">
        <v>1053</v>
      </c>
      <c r="E11" s="293"/>
      <c r="F11" s="293"/>
      <c r="G11" s="273" t="s">
        <v>1054</v>
      </c>
      <c r="H11" s="274">
        <f t="shared" si="0"/>
        <v>530.89</v>
      </c>
      <c r="I11" s="274">
        <f t="shared" si="1"/>
        <v>0</v>
      </c>
      <c r="J11" s="288">
        <v>530.89</v>
      </c>
      <c r="K11" s="276"/>
      <c r="L11" s="277"/>
      <c r="M11" s="278"/>
      <c r="N11" s="391"/>
      <c r="O11" s="392"/>
      <c r="P11" s="279"/>
      <c r="Q11" s="280"/>
      <c r="R11" s="195"/>
      <c r="S11" s="195"/>
      <c r="T11" s="195"/>
      <c r="U11" s="195">
        <v>530.89</v>
      </c>
      <c r="V11" s="195"/>
      <c r="W11" s="195"/>
      <c r="X11" s="553"/>
      <c r="Y11" s="559"/>
      <c r="Z11" s="560"/>
      <c r="AA11" s="281"/>
      <c r="AB11" s="282"/>
      <c r="AC11" s="282"/>
      <c r="AD11" s="282"/>
      <c r="AE11" s="282"/>
      <c r="AF11" s="282"/>
      <c r="AJ11" s="294" t="s">
        <v>973</v>
      </c>
      <c r="AK11" s="294" t="s">
        <v>1004</v>
      </c>
    </row>
    <row r="12" spans="1:36" s="268" customFormat="1" ht="18.75" customHeight="1">
      <c r="A12" s="270">
        <v>39776</v>
      </c>
      <c r="B12" s="292" t="s">
        <v>1057</v>
      </c>
      <c r="C12" s="286" t="s">
        <v>1058</v>
      </c>
      <c r="D12" s="287" t="s">
        <v>1059</v>
      </c>
      <c r="E12" s="293"/>
      <c r="F12" s="293"/>
      <c r="G12" s="273"/>
      <c r="H12" s="274">
        <f t="shared" si="0"/>
        <v>0</v>
      </c>
      <c r="I12" s="274">
        <f t="shared" si="1"/>
        <v>187.9</v>
      </c>
      <c r="J12" s="275"/>
      <c r="K12" s="276">
        <v>187.9</v>
      </c>
      <c r="L12" s="277"/>
      <c r="M12" s="278"/>
      <c r="N12" s="391"/>
      <c r="O12" s="392"/>
      <c r="P12" s="279"/>
      <c r="Q12" s="280"/>
      <c r="R12" s="195"/>
      <c r="S12" s="195"/>
      <c r="T12" s="195"/>
      <c r="U12" s="195"/>
      <c r="V12" s="195"/>
      <c r="W12" s="195"/>
      <c r="X12" s="553"/>
      <c r="Y12" s="559"/>
      <c r="Z12" s="560"/>
      <c r="AA12" s="281"/>
      <c r="AB12" s="282">
        <v>187.9</v>
      </c>
      <c r="AC12" s="282"/>
      <c r="AD12" s="282"/>
      <c r="AE12" s="282"/>
      <c r="AF12" s="282"/>
      <c r="AJ12" s="294"/>
    </row>
    <row r="13" spans="1:36" s="268" customFormat="1" ht="18.75" customHeight="1">
      <c r="A13" s="747">
        <v>39778</v>
      </c>
      <c r="B13" s="292" t="s">
        <v>1060</v>
      </c>
      <c r="C13" s="286" t="s">
        <v>1061</v>
      </c>
      <c r="D13" s="287" t="s">
        <v>1062</v>
      </c>
      <c r="E13" s="273" t="s">
        <v>1054</v>
      </c>
      <c r="F13" s="273"/>
      <c r="G13" s="273"/>
      <c r="H13" s="274">
        <f t="shared" si="0"/>
        <v>15</v>
      </c>
      <c r="I13" s="274">
        <f t="shared" si="1"/>
        <v>0</v>
      </c>
      <c r="J13" s="288">
        <v>15</v>
      </c>
      <c r="K13" s="276"/>
      <c r="L13" s="277"/>
      <c r="M13" s="278"/>
      <c r="N13" s="391"/>
      <c r="O13" s="392"/>
      <c r="P13" s="279"/>
      <c r="Q13" s="280"/>
      <c r="R13" s="195"/>
      <c r="S13" s="195"/>
      <c r="T13" s="195"/>
      <c r="U13" s="195"/>
      <c r="V13" s="195"/>
      <c r="W13" s="195"/>
      <c r="X13" s="553">
        <v>15</v>
      </c>
      <c r="Y13" s="559"/>
      <c r="Z13" s="560"/>
      <c r="AA13" s="281"/>
      <c r="AB13" s="282"/>
      <c r="AC13" s="282"/>
      <c r="AD13" s="282"/>
      <c r="AE13" s="282"/>
      <c r="AF13" s="282"/>
      <c r="AJ13" s="294"/>
    </row>
    <row r="14" spans="1:36" s="268" customFormat="1" ht="18.75" customHeight="1">
      <c r="A14" s="295">
        <v>39780</v>
      </c>
      <c r="B14" s="292" t="s">
        <v>1051</v>
      </c>
      <c r="C14" s="286" t="s">
        <v>1063</v>
      </c>
      <c r="D14" s="287" t="s">
        <v>1059</v>
      </c>
      <c r="E14" s="293"/>
      <c r="F14" s="293"/>
      <c r="G14" s="293" t="s">
        <v>1054</v>
      </c>
      <c r="H14" s="274">
        <f t="shared" si="0"/>
        <v>0</v>
      </c>
      <c r="I14" s="274">
        <f t="shared" si="1"/>
        <v>1200</v>
      </c>
      <c r="J14" s="275"/>
      <c r="K14" s="276"/>
      <c r="L14" s="277"/>
      <c r="M14" s="278">
        <v>1200</v>
      </c>
      <c r="N14" s="391"/>
      <c r="O14" s="392"/>
      <c r="P14" s="279"/>
      <c r="Q14" s="280"/>
      <c r="R14" s="195"/>
      <c r="S14" s="195"/>
      <c r="T14" s="195"/>
      <c r="U14" s="195"/>
      <c r="V14" s="195"/>
      <c r="W14" s="195"/>
      <c r="X14" s="553"/>
      <c r="Y14" s="559"/>
      <c r="Z14" s="560">
        <v>1200</v>
      </c>
      <c r="AA14" s="281"/>
      <c r="AB14" s="282"/>
      <c r="AC14" s="282"/>
      <c r="AD14" s="282"/>
      <c r="AE14" s="282"/>
      <c r="AF14" s="282"/>
      <c r="AJ14" s="294"/>
    </row>
    <row r="15" spans="1:36" ht="18.75" customHeight="1">
      <c r="A15" s="747">
        <v>39780</v>
      </c>
      <c r="B15" s="583" t="s">
        <v>1051</v>
      </c>
      <c r="C15" s="532" t="s">
        <v>1063</v>
      </c>
      <c r="D15" s="585" t="s">
        <v>1059</v>
      </c>
      <c r="E15" s="273"/>
      <c r="F15" s="273"/>
      <c r="G15" s="273" t="s">
        <v>1064</v>
      </c>
      <c r="H15" s="274">
        <f t="shared" si="0"/>
        <v>1200</v>
      </c>
      <c r="I15" s="274">
        <f t="shared" si="1"/>
        <v>0</v>
      </c>
      <c r="J15" s="275">
        <v>1200</v>
      </c>
      <c r="K15" s="276"/>
      <c r="L15" s="277"/>
      <c r="M15" s="278"/>
      <c r="N15" s="391"/>
      <c r="O15" s="392"/>
      <c r="P15" s="279"/>
      <c r="Q15" s="280"/>
      <c r="R15" s="195"/>
      <c r="S15" s="195"/>
      <c r="T15" s="195"/>
      <c r="U15" s="195"/>
      <c r="V15" s="195"/>
      <c r="W15" s="195"/>
      <c r="X15" s="553"/>
      <c r="Y15" s="559">
        <v>1200</v>
      </c>
      <c r="Z15" s="560"/>
      <c r="AA15" s="281"/>
      <c r="AB15" s="282"/>
      <c r="AC15" s="282"/>
      <c r="AD15" s="282"/>
      <c r="AE15" s="282"/>
      <c r="AF15" s="282"/>
      <c r="AJ15" s="294"/>
    </row>
    <row r="16" spans="1:36" ht="18.75" customHeight="1">
      <c r="A16" s="295"/>
      <c r="B16" s="292"/>
      <c r="C16" s="296"/>
      <c r="D16" s="297"/>
      <c r="E16" s="273"/>
      <c r="F16" s="273"/>
      <c r="G16" s="273"/>
      <c r="H16" s="274">
        <f t="shared" si="0"/>
        <v>0</v>
      </c>
      <c r="I16" s="274">
        <f t="shared" si="1"/>
        <v>0</v>
      </c>
      <c r="J16" s="288"/>
      <c r="K16" s="276"/>
      <c r="L16" s="277"/>
      <c r="M16" s="278"/>
      <c r="N16" s="391"/>
      <c r="O16" s="392"/>
      <c r="P16" s="298"/>
      <c r="Q16" s="280"/>
      <c r="R16" s="275"/>
      <c r="S16" s="276"/>
      <c r="T16" s="195"/>
      <c r="U16" s="195"/>
      <c r="V16" s="195"/>
      <c r="W16" s="195"/>
      <c r="X16" s="553"/>
      <c r="Y16" s="559"/>
      <c r="Z16" s="560"/>
      <c r="AA16" s="281"/>
      <c r="AB16" s="282"/>
      <c r="AC16" s="282"/>
      <c r="AD16" s="282"/>
      <c r="AE16" s="282"/>
      <c r="AF16" s="282"/>
      <c r="AJ16" s="294"/>
    </row>
    <row r="17" spans="1:32" ht="18.75" customHeight="1" thickBot="1">
      <c r="A17" s="295"/>
      <c r="B17" s="299"/>
      <c r="C17" s="271"/>
      <c r="D17" s="287"/>
      <c r="E17" s="293"/>
      <c r="F17" s="293"/>
      <c r="G17" s="293"/>
      <c r="H17" s="274">
        <f t="shared" si="0"/>
        <v>0</v>
      </c>
      <c r="I17" s="274">
        <f t="shared" si="1"/>
        <v>0</v>
      </c>
      <c r="J17" s="288"/>
      <c r="K17" s="276"/>
      <c r="L17" s="277"/>
      <c r="M17" s="278"/>
      <c r="N17" s="391"/>
      <c r="O17" s="392"/>
      <c r="P17" s="279"/>
      <c r="Q17" s="280"/>
      <c r="R17" s="195"/>
      <c r="S17" s="195"/>
      <c r="T17" s="195"/>
      <c r="U17" s="195"/>
      <c r="V17" s="195"/>
      <c r="W17" s="195"/>
      <c r="X17" s="553"/>
      <c r="Y17" s="559"/>
      <c r="Z17" s="561"/>
      <c r="AA17" s="281"/>
      <c r="AB17" s="282"/>
      <c r="AC17" s="282"/>
      <c r="AD17" s="282"/>
      <c r="AE17" s="282"/>
      <c r="AF17" s="282"/>
    </row>
    <row r="18" spans="1:32" ht="18.75" customHeight="1" thickBot="1">
      <c r="A18" s="300"/>
      <c r="B18" s="301"/>
      <c r="C18" s="302" t="s">
        <v>1065</v>
      </c>
      <c r="D18" s="303"/>
      <c r="E18" s="304"/>
      <c r="F18" s="304"/>
      <c r="G18" s="304"/>
      <c r="H18" s="305">
        <f aca="true" t="shared" si="2" ref="H18:Y18">SUM(H8:H17)</f>
        <v>1793.22</v>
      </c>
      <c r="I18" s="306">
        <f t="shared" si="2"/>
        <v>1387.9</v>
      </c>
      <c r="J18" s="307">
        <f t="shared" si="2"/>
        <v>1793.22</v>
      </c>
      <c r="K18" s="307">
        <f t="shared" si="2"/>
        <v>187.9</v>
      </c>
      <c r="L18" s="307">
        <f t="shared" si="2"/>
        <v>0</v>
      </c>
      <c r="M18" s="307">
        <f t="shared" si="2"/>
        <v>1200</v>
      </c>
      <c r="N18" s="307">
        <f t="shared" si="2"/>
        <v>0</v>
      </c>
      <c r="O18" s="307">
        <f t="shared" si="2"/>
        <v>0</v>
      </c>
      <c r="P18" s="307">
        <f t="shared" si="2"/>
        <v>0</v>
      </c>
      <c r="Q18" s="307">
        <f t="shared" si="2"/>
        <v>0</v>
      </c>
      <c r="R18" s="307">
        <f t="shared" si="2"/>
        <v>0</v>
      </c>
      <c r="S18" s="307">
        <f t="shared" si="2"/>
        <v>15.3</v>
      </c>
      <c r="T18" s="307">
        <f t="shared" si="2"/>
        <v>32.03</v>
      </c>
      <c r="U18" s="307">
        <f t="shared" si="2"/>
        <v>530.89</v>
      </c>
      <c r="V18" s="307">
        <f t="shared" si="2"/>
        <v>0</v>
      </c>
      <c r="W18" s="307">
        <f t="shared" si="2"/>
        <v>0</v>
      </c>
      <c r="X18" s="554">
        <f t="shared" si="2"/>
        <v>15</v>
      </c>
      <c r="Y18" s="307">
        <f t="shared" si="2"/>
        <v>1200</v>
      </c>
      <c r="Z18" s="562"/>
      <c r="AA18" s="556">
        <f aca="true" t="shared" si="3" ref="AA18:AF18">SUM(AA8:AA17)</f>
        <v>0</v>
      </c>
      <c r="AB18" s="307">
        <f t="shared" si="3"/>
        <v>187.9</v>
      </c>
      <c r="AC18" s="307">
        <f t="shared" si="3"/>
        <v>0</v>
      </c>
      <c r="AD18" s="307">
        <f t="shared" si="3"/>
        <v>0</v>
      </c>
      <c r="AE18" s="307">
        <f t="shared" si="3"/>
        <v>0</v>
      </c>
      <c r="AF18" s="307">
        <f t="shared" si="3"/>
        <v>0</v>
      </c>
    </row>
    <row r="19" spans="2:32" ht="12">
      <c r="B19" s="308"/>
      <c r="C19" s="308"/>
      <c r="D19" s="309"/>
      <c r="E19" s="265"/>
      <c r="F19" s="265"/>
      <c r="G19" s="265"/>
      <c r="H19" s="310"/>
      <c r="I19" s="310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</row>
    <row r="20" spans="2:32" s="312" customFormat="1" ht="18.75" customHeight="1" thickBot="1">
      <c r="B20" s="313"/>
      <c r="C20" s="313"/>
      <c r="D20" s="250"/>
      <c r="E20" s="240"/>
      <c r="F20" s="240"/>
      <c r="G20" s="314" t="s">
        <v>1066</v>
      </c>
      <c r="H20" s="315">
        <f>(J18+L18+N18+P18)-Y18</f>
        <v>593.22</v>
      </c>
      <c r="N20" s="316"/>
      <c r="O20" s="316" t="s">
        <v>1067</v>
      </c>
      <c r="P20" s="317">
        <f>(K18+M18+O18+Q18)-AA22</f>
        <v>187.9000000000001</v>
      </c>
      <c r="Q20" s="318"/>
      <c r="T20" s="316" t="s">
        <v>1068</v>
      </c>
      <c r="U20" s="547">
        <f>(R18+S18+T18+U18+V18+W18+X18)</f>
        <v>593.22</v>
      </c>
      <c r="W20" s="320"/>
      <c r="X20" s="320"/>
      <c r="Y20" s="321"/>
      <c r="AA20" s="322"/>
      <c r="AB20" s="314" t="s">
        <v>885</v>
      </c>
      <c r="AC20" s="548">
        <f>(AA18+AB18+AC18+AD18+AE18+AF18)</f>
        <v>187.9</v>
      </c>
      <c r="AD20" s="320"/>
      <c r="AE20" s="320"/>
      <c r="AF20" s="320"/>
    </row>
    <row r="21" spans="2:32" s="324" customFormat="1" ht="18.75" customHeight="1" thickBot="1">
      <c r="B21" s="325"/>
      <c r="C21" s="326" t="s">
        <v>886</v>
      </c>
      <c r="D21" s="327"/>
      <c r="E21" s="240"/>
      <c r="F21" s="240"/>
      <c r="G21" s="328"/>
      <c r="H21" s="329">
        <f aca="true" t="shared" si="4" ref="H21:Y21">SUM(H3+H18)</f>
        <v>1793.22</v>
      </c>
      <c r="I21" s="330">
        <f t="shared" si="4"/>
        <v>1387.9</v>
      </c>
      <c r="J21" s="331">
        <f t="shared" si="4"/>
        <v>1793.22</v>
      </c>
      <c r="K21" s="331">
        <f t="shared" si="4"/>
        <v>15268.17</v>
      </c>
      <c r="L21" s="331">
        <f t="shared" si="4"/>
        <v>0</v>
      </c>
      <c r="M21" s="331">
        <f t="shared" si="4"/>
        <v>52075.41</v>
      </c>
      <c r="N21" s="331">
        <f t="shared" si="4"/>
        <v>0</v>
      </c>
      <c r="O21" s="331">
        <f t="shared" si="4"/>
        <v>76861.54</v>
      </c>
      <c r="P21" s="331">
        <f t="shared" si="4"/>
        <v>0</v>
      </c>
      <c r="Q21" s="331">
        <f t="shared" si="4"/>
        <v>115.16</v>
      </c>
      <c r="R21" s="331">
        <f t="shared" si="4"/>
        <v>0</v>
      </c>
      <c r="S21" s="331">
        <f t="shared" si="4"/>
        <v>15.3</v>
      </c>
      <c r="T21" s="331">
        <f t="shared" si="4"/>
        <v>32.03</v>
      </c>
      <c r="U21" s="331">
        <f t="shared" si="4"/>
        <v>530.89</v>
      </c>
      <c r="V21" s="331">
        <f t="shared" si="4"/>
        <v>0</v>
      </c>
      <c r="W21" s="331">
        <f t="shared" si="4"/>
        <v>0</v>
      </c>
      <c r="X21" s="331">
        <f t="shared" si="4"/>
        <v>15</v>
      </c>
      <c r="Y21" s="331">
        <f t="shared" si="4"/>
        <v>1200</v>
      </c>
      <c r="Z21" s="331">
        <f>SUM(Z3+AA22)</f>
        <v>1200</v>
      </c>
      <c r="AA21" s="331">
        <f aca="true" t="shared" si="5" ref="AA21:AF21">SUM(AA3+AA18)</f>
        <v>0</v>
      </c>
      <c r="AB21" s="331">
        <f t="shared" si="5"/>
        <v>187.9</v>
      </c>
      <c r="AC21" s="331">
        <f t="shared" si="5"/>
        <v>0</v>
      </c>
      <c r="AD21" s="331">
        <f t="shared" si="5"/>
        <v>0</v>
      </c>
      <c r="AE21" s="331">
        <f t="shared" si="5"/>
        <v>0</v>
      </c>
      <c r="AF21" s="331">
        <f t="shared" si="5"/>
        <v>0</v>
      </c>
    </row>
    <row r="22" spans="2:32" s="324" customFormat="1" ht="12.75" thickBot="1">
      <c r="B22" s="325"/>
      <c r="C22" s="325"/>
      <c r="D22" s="327"/>
      <c r="E22" s="240"/>
      <c r="F22" s="240"/>
      <c r="G22" s="328"/>
      <c r="H22" s="332"/>
      <c r="I22" s="333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07">
        <f>SUM(Z8:Z17)</f>
        <v>1200</v>
      </c>
      <c r="AB22" s="334"/>
      <c r="AC22" s="334"/>
      <c r="AD22" s="334"/>
      <c r="AE22" s="334"/>
      <c r="AF22" s="334"/>
    </row>
    <row r="23" spans="2:32" s="312" customFormat="1" ht="18.75" customHeight="1" thickBot="1">
      <c r="B23" s="325"/>
      <c r="C23" s="335"/>
      <c r="D23" s="250"/>
      <c r="E23" s="240"/>
      <c r="F23" s="240"/>
      <c r="G23" s="314" t="s">
        <v>887</v>
      </c>
      <c r="H23" s="336">
        <f>(J21+L21+P21)-Y21</f>
        <v>593.22</v>
      </c>
      <c r="M23" s="316" t="s">
        <v>887</v>
      </c>
      <c r="N23" s="316"/>
      <c r="O23" s="316"/>
      <c r="P23" s="319">
        <f>(R21+S21+T21+U21+V21+W21+X21)</f>
        <v>593.22</v>
      </c>
      <c r="R23" s="316" t="s">
        <v>888</v>
      </c>
      <c r="S23" s="317">
        <f>(K21+M21+O21+Q21)-Y21</f>
        <v>143120.28</v>
      </c>
      <c r="T23" s="320"/>
      <c r="U23" s="320"/>
      <c r="V23" s="320"/>
      <c r="W23" s="320"/>
      <c r="X23" s="320"/>
      <c r="Y23" s="337"/>
      <c r="AA23" s="322"/>
      <c r="AB23" s="314" t="s">
        <v>1069</v>
      </c>
      <c r="AC23" s="323">
        <f>(AA21+AB21+AC21+AD21+AE21+AF21)</f>
        <v>187.9</v>
      </c>
      <c r="AD23" s="320"/>
      <c r="AE23" s="320"/>
      <c r="AF23" s="320"/>
    </row>
    <row r="24" spans="2:28" ht="18.75" customHeight="1" thickBot="1">
      <c r="B24" s="325"/>
      <c r="C24" s="338" t="s">
        <v>1070</v>
      </c>
      <c r="D24" s="339" t="s">
        <v>1071</v>
      </c>
      <c r="E24" s="340"/>
      <c r="F24" s="340"/>
      <c r="G24" s="340"/>
      <c r="H24" s="341">
        <v>15080.27</v>
      </c>
      <c r="I24" s="342"/>
      <c r="J24" s="343" t="s">
        <v>1072</v>
      </c>
      <c r="K24" s="341">
        <v>50875.41</v>
      </c>
      <c r="L24" s="344"/>
      <c r="M24" s="345" t="s">
        <v>1073</v>
      </c>
      <c r="N24" s="345">
        <f>O3</f>
        <v>76861.54</v>
      </c>
      <c r="O24" s="344"/>
      <c r="P24" s="346" t="s">
        <v>981</v>
      </c>
      <c r="Q24" s="341">
        <v>115.16</v>
      </c>
      <c r="AB24" s="347"/>
    </row>
    <row r="25" spans="2:28" s="348" customFormat="1" ht="18.75" customHeight="1" thickBot="1">
      <c r="B25" s="268"/>
      <c r="C25" s="349" t="s">
        <v>894</v>
      </c>
      <c r="D25" s="350"/>
      <c r="E25" s="240"/>
      <c r="F25" s="240"/>
      <c r="G25" s="240"/>
      <c r="H25" s="351"/>
      <c r="I25" s="352"/>
      <c r="J25" s="351"/>
      <c r="K25" s="351"/>
      <c r="L25" s="352"/>
      <c r="M25" s="352"/>
      <c r="N25" s="352"/>
      <c r="O25" s="352"/>
      <c r="P25" s="351"/>
      <c r="Q25" s="243"/>
      <c r="R25" s="353"/>
      <c r="S25" s="343" t="s">
        <v>1074</v>
      </c>
      <c r="T25" s="354"/>
      <c r="U25" s="355"/>
      <c r="V25" s="355"/>
      <c r="W25" s="355"/>
      <c r="X25" s="343" t="s">
        <v>1075</v>
      </c>
      <c r="Y25" s="356"/>
      <c r="Z25" s="354"/>
      <c r="AB25" s="248"/>
    </row>
    <row r="26" spans="2:28" ht="18.75" customHeight="1" thickBot="1" thickTop="1">
      <c r="B26" s="357"/>
      <c r="C26" s="358" t="s">
        <v>1076</v>
      </c>
      <c r="D26" s="359" t="s">
        <v>1071</v>
      </c>
      <c r="E26" s="360"/>
      <c r="F26" s="360"/>
      <c r="G26" s="360"/>
      <c r="H26" s="361">
        <f>SUM(H24+K18)-(J18)</f>
        <v>13474.95</v>
      </c>
      <c r="I26" s="362"/>
      <c r="J26" s="363" t="s">
        <v>1072</v>
      </c>
      <c r="K26" s="361">
        <f>K24+M18-L18</f>
        <v>52075.41</v>
      </c>
      <c r="M26" s="345" t="s">
        <v>1073</v>
      </c>
      <c r="N26" s="364">
        <f>N24+O18-N18</f>
        <v>76861.54</v>
      </c>
      <c r="P26" s="363" t="s">
        <v>981</v>
      </c>
      <c r="Q26" s="361">
        <f>SUM(Q24+Q18)-(P18)</f>
        <v>115.16</v>
      </c>
      <c r="R26" s="365"/>
      <c r="S26" s="363" t="s">
        <v>1077</v>
      </c>
      <c r="T26" s="366"/>
      <c r="X26" s="363" t="s">
        <v>898</v>
      </c>
      <c r="Y26" s="367"/>
      <c r="Z26" s="366"/>
      <c r="AB26" s="368"/>
    </row>
    <row r="27" spans="2:28" ht="18.75" customHeight="1" thickTop="1">
      <c r="B27" s="357"/>
      <c r="C27" s="357"/>
      <c r="D27" s="393"/>
      <c r="E27" s="265"/>
      <c r="F27" s="265"/>
      <c r="G27" s="265"/>
      <c r="H27" s="394"/>
      <c r="I27" s="362"/>
      <c r="J27" s="365"/>
      <c r="K27" s="394"/>
      <c r="M27" s="353"/>
      <c r="N27" s="395"/>
      <c r="P27" s="365"/>
      <c r="Q27" s="394"/>
      <c r="R27" s="365"/>
      <c r="S27" s="365"/>
      <c r="T27" s="396"/>
      <c r="X27" s="365"/>
      <c r="Y27" s="367"/>
      <c r="Z27" s="396"/>
      <c r="AB27" s="368"/>
    </row>
    <row r="28" spans="2:28" s="324" customFormat="1" ht="12">
      <c r="B28" s="313" t="s">
        <v>899</v>
      </c>
      <c r="C28" s="369"/>
      <c r="D28" s="370" t="s">
        <v>900</v>
      </c>
      <c r="E28" s="371"/>
      <c r="F28" s="371"/>
      <c r="G28" s="371"/>
      <c r="H28" s="372"/>
      <c r="I28" s="370" t="s">
        <v>901</v>
      </c>
      <c r="J28" s="372"/>
      <c r="K28" s="372"/>
      <c r="L28" s="370" t="s">
        <v>902</v>
      </c>
      <c r="M28" s="370"/>
      <c r="N28" s="370"/>
      <c r="O28" s="370"/>
      <c r="P28" s="372"/>
      <c r="Q28" s="372"/>
      <c r="R28" s="370" t="s">
        <v>903</v>
      </c>
      <c r="S28" s="243"/>
      <c r="T28" s="370" t="s">
        <v>900</v>
      </c>
      <c r="U28" s="243"/>
      <c r="V28" s="243"/>
      <c r="W28" s="243"/>
      <c r="X28" s="370" t="s">
        <v>901</v>
      </c>
      <c r="Y28" s="373"/>
      <c r="Z28" s="372"/>
      <c r="AB28" s="370" t="s">
        <v>902</v>
      </c>
    </row>
    <row r="29" spans="2:28" s="374" customFormat="1" ht="12">
      <c r="B29" s="374" t="s">
        <v>904</v>
      </c>
      <c r="C29" s="375"/>
      <c r="D29" s="374" t="s">
        <v>905</v>
      </c>
      <c r="E29" s="376"/>
      <c r="F29" s="376"/>
      <c r="H29" s="377"/>
      <c r="I29" s="378"/>
      <c r="J29" s="379"/>
      <c r="K29" s="379"/>
      <c r="L29" s="378"/>
      <c r="M29" s="378"/>
      <c r="N29" s="378"/>
      <c r="O29" s="378"/>
      <c r="P29" s="379"/>
      <c r="Q29" s="379"/>
      <c r="R29" s="379" t="s">
        <v>904</v>
      </c>
      <c r="S29" s="243"/>
      <c r="T29" s="379" t="s">
        <v>905</v>
      </c>
      <c r="U29" s="243"/>
      <c r="V29" s="243"/>
      <c r="W29" s="243"/>
      <c r="X29" s="378"/>
      <c r="Y29" s="380"/>
      <c r="Z29" s="377"/>
      <c r="AB29" s="381"/>
    </row>
    <row r="30" spans="3:28" s="374" customFormat="1" ht="40.5" customHeight="1">
      <c r="C30" s="375"/>
      <c r="E30" s="376"/>
      <c r="F30" s="376"/>
      <c r="H30" s="377"/>
      <c r="I30" s="378"/>
      <c r="J30" s="379"/>
      <c r="K30" s="379"/>
      <c r="L30" s="378"/>
      <c r="M30" s="378"/>
      <c r="N30" s="378"/>
      <c r="O30" s="378"/>
      <c r="P30" s="379"/>
      <c r="Q30" s="379"/>
      <c r="R30" s="379"/>
      <c r="S30" s="243"/>
      <c r="T30" s="379"/>
      <c r="U30" s="243"/>
      <c r="V30" s="243"/>
      <c r="W30" s="243"/>
      <c r="X30" s="378"/>
      <c r="Y30" s="380"/>
      <c r="Z30" s="377"/>
      <c r="AB30" s="381"/>
    </row>
    <row r="31" spans="3:28" ht="18.75" customHeight="1">
      <c r="C31" s="382" t="s">
        <v>906</v>
      </c>
      <c r="D31" s="383"/>
      <c r="E31" s="384"/>
      <c r="F31" s="384"/>
      <c r="G31" s="385"/>
      <c r="H31" s="386">
        <f>H26+K26+N26+Q26</f>
        <v>142527.06</v>
      </c>
      <c r="AB31" s="387"/>
    </row>
    <row r="32" ht="12">
      <c r="J32" s="389"/>
    </row>
    <row r="35" ht="12">
      <c r="N35" s="379"/>
    </row>
    <row r="39" ht="12">
      <c r="J39" s="244"/>
    </row>
  </sheetData>
  <sheetProtection/>
  <printOptions horizontalCentered="1" verticalCentered="1"/>
  <pageMargins left="0" right="0" top="0" bottom="0" header="0" footer="0"/>
  <pageSetup fitToHeight="2" fitToWidth="2"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39"/>
  <sheetViews>
    <sheetView zoomScale="125" zoomScaleNormal="125" zoomScalePageLayoutView="0" workbookViewId="0" topLeftCell="B1">
      <pane ySplit="7" topLeftCell="A8" activePane="bottomLeft" state="frozen"/>
      <selection pane="topLeft" activeCell="A1" sqref="A1"/>
      <selection pane="bottomLeft" activeCell="W30" sqref="W30"/>
    </sheetView>
  </sheetViews>
  <sheetFormatPr defaultColWidth="11.7109375" defaultRowHeight="12.75"/>
  <cols>
    <col min="1" max="1" width="11.7109375" style="407" customWidth="1"/>
    <col min="2" max="2" width="18.7109375" style="398" customWidth="1"/>
    <col min="3" max="3" width="4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7" width="12.7109375" style="400" customWidth="1"/>
    <col min="18" max="24" width="10.7109375" style="400" customWidth="1"/>
    <col min="25" max="25" width="10.7109375" style="409" customWidth="1"/>
    <col min="26" max="26" width="10.7109375" style="400" customWidth="1"/>
    <col min="27" max="27" width="10.7109375" style="407" customWidth="1"/>
    <col min="28" max="28" width="10.7109375" style="522" customWidth="1"/>
    <col min="29" max="32" width="10.7109375" style="407" customWidth="1"/>
    <col min="33" max="16384" width="11.7109375" style="407" customWidth="1"/>
  </cols>
  <sheetData>
    <row r="1" spans="2:38" s="397" customFormat="1" ht="16.5" customHeight="1">
      <c r="B1" s="398"/>
      <c r="C1" s="55" t="s">
        <v>907</v>
      </c>
      <c r="D1" s="399"/>
      <c r="H1" s="400" t="s">
        <v>1016</v>
      </c>
      <c r="I1" s="401"/>
      <c r="J1" s="402" t="s">
        <v>908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909</v>
      </c>
      <c r="AA1" s="397" t="s">
        <v>1016</v>
      </c>
      <c r="AB1" s="405"/>
      <c r="AK1" s="406" t="s">
        <v>969</v>
      </c>
      <c r="AL1" s="406" t="s">
        <v>970</v>
      </c>
    </row>
    <row r="2" spans="2:38" ht="12" customHeight="1" thickBot="1">
      <c r="B2" s="407"/>
      <c r="C2" s="408"/>
      <c r="D2" s="407"/>
      <c r="H2" s="400"/>
      <c r="I2" s="400"/>
      <c r="AB2" s="405"/>
      <c r="AK2" s="410" t="s">
        <v>971</v>
      </c>
      <c r="AL2" s="411" t="s">
        <v>972</v>
      </c>
    </row>
    <row r="3" spans="3:38" s="412" customFormat="1" ht="18.75" customHeight="1" thickBot="1">
      <c r="C3" s="413"/>
      <c r="D3" s="414"/>
      <c r="E3" s="832" t="s">
        <v>1018</v>
      </c>
      <c r="F3" s="833"/>
      <c r="G3" s="834"/>
      <c r="H3" s="415">
        <f>nov14!H18</f>
        <v>1793.22</v>
      </c>
      <c r="I3" s="415">
        <f>nov14!I18</f>
        <v>1387.9</v>
      </c>
      <c r="J3" s="415">
        <f>nov14!J18</f>
        <v>1793.22</v>
      </c>
      <c r="K3" s="415">
        <f>nov14!K21</f>
        <v>15268.17</v>
      </c>
      <c r="L3" s="415">
        <f>nov14!L21</f>
        <v>0</v>
      </c>
      <c r="M3" s="415">
        <f>nov14!M21</f>
        <v>52075.41</v>
      </c>
      <c r="N3" s="415">
        <f>nov14!N21</f>
        <v>0</v>
      </c>
      <c r="O3" s="415">
        <f>nov14!O21</f>
        <v>76861.54</v>
      </c>
      <c r="P3" s="415">
        <f>nov14!P21</f>
        <v>0</v>
      </c>
      <c r="Q3" s="415">
        <f>nov14!Q21</f>
        <v>115.16</v>
      </c>
      <c r="R3" s="415">
        <f>nov14!R21</f>
        <v>0</v>
      </c>
      <c r="S3" s="415">
        <f>nov14!S21</f>
        <v>15.3</v>
      </c>
      <c r="T3" s="415">
        <f>nov14!T21</f>
        <v>32.03</v>
      </c>
      <c r="U3" s="415">
        <f>nov14!U21</f>
        <v>530.89</v>
      </c>
      <c r="V3" s="415">
        <f>nov14!V21</f>
        <v>0</v>
      </c>
      <c r="W3" s="415">
        <f>nov14!W21</f>
        <v>0</v>
      </c>
      <c r="X3" s="563">
        <f>nov14!X21</f>
        <v>15</v>
      </c>
      <c r="Y3" s="415">
        <f>nov14!Y21</f>
        <v>1200</v>
      </c>
      <c r="Z3" s="415">
        <f>nov14!Z21</f>
        <v>1200</v>
      </c>
      <c r="AA3" s="565">
        <f>nov14!AA21</f>
        <v>0</v>
      </c>
      <c r="AB3" s="415">
        <f>nov14!AB21</f>
        <v>187.9</v>
      </c>
      <c r="AC3" s="415">
        <f>nov14!AC21</f>
        <v>0</v>
      </c>
      <c r="AD3" s="415">
        <f>nov14!AD21</f>
        <v>0</v>
      </c>
      <c r="AE3" s="415">
        <f>nov14!AE21</f>
        <v>0</v>
      </c>
      <c r="AF3" s="415">
        <f>nov14!AF21</f>
        <v>0</v>
      </c>
      <c r="AK3" s="410" t="s">
        <v>973</v>
      </c>
      <c r="AL3" s="410" t="s">
        <v>974</v>
      </c>
    </row>
    <row r="4" spans="2:38" s="412" customFormat="1" ht="14.25" customHeight="1" thickBot="1">
      <c r="B4" s="416"/>
      <c r="C4" s="413"/>
      <c r="D4" s="414"/>
      <c r="E4" s="397"/>
      <c r="F4" s="397"/>
      <c r="G4" s="397"/>
      <c r="H4" s="803" t="s">
        <v>1019</v>
      </c>
      <c r="I4" s="804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45"/>
      <c r="Y4" s="417">
        <v>58</v>
      </c>
      <c r="Z4" s="418"/>
      <c r="AA4" s="837" t="s">
        <v>1021</v>
      </c>
      <c r="AB4" s="838"/>
      <c r="AC4" s="838"/>
      <c r="AD4" s="838"/>
      <c r="AE4" s="838"/>
      <c r="AF4" s="839"/>
      <c r="AK4" s="410" t="s">
        <v>979</v>
      </c>
      <c r="AL4" s="410" t="s">
        <v>980</v>
      </c>
    </row>
    <row r="5" spans="2:38" s="419" customFormat="1" ht="12.75" customHeight="1">
      <c r="B5" s="420"/>
      <c r="C5" s="413"/>
      <c r="D5" s="421"/>
      <c r="E5" s="422"/>
      <c r="F5" s="422"/>
      <c r="G5" s="422"/>
      <c r="H5" s="805"/>
      <c r="I5" s="806"/>
      <c r="J5" s="850" t="s">
        <v>911</v>
      </c>
      <c r="K5" s="851"/>
      <c r="L5" s="854" t="s">
        <v>1023</v>
      </c>
      <c r="M5" s="851"/>
      <c r="N5" s="828" t="s">
        <v>1024</v>
      </c>
      <c r="O5" s="825"/>
      <c r="P5" s="854" t="s">
        <v>912</v>
      </c>
      <c r="Q5" s="851"/>
      <c r="R5" s="846"/>
      <c r="S5" s="847"/>
      <c r="T5" s="847"/>
      <c r="U5" s="847"/>
      <c r="V5" s="847"/>
      <c r="W5" s="847"/>
      <c r="X5" s="847"/>
      <c r="Y5" s="423" t="s">
        <v>1026</v>
      </c>
      <c r="Z5" s="424" t="s">
        <v>1026</v>
      </c>
      <c r="AA5" s="681"/>
      <c r="AB5" s="840"/>
      <c r="AC5" s="840"/>
      <c r="AD5" s="840"/>
      <c r="AE5" s="840"/>
      <c r="AF5" s="841"/>
      <c r="AK5" s="410" t="s">
        <v>981</v>
      </c>
      <c r="AL5" s="410" t="s">
        <v>982</v>
      </c>
    </row>
    <row r="6" spans="2:38" ht="13.5" customHeight="1" thickBot="1">
      <c r="B6" s="425"/>
      <c r="C6" s="408"/>
      <c r="D6" s="425"/>
      <c r="E6" s="422"/>
      <c r="F6" s="422"/>
      <c r="G6" s="422"/>
      <c r="H6" s="807"/>
      <c r="I6" s="808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49"/>
      <c r="Y6" s="426" t="s">
        <v>1027</v>
      </c>
      <c r="Z6" s="426" t="s">
        <v>1027</v>
      </c>
      <c r="AA6" s="842"/>
      <c r="AB6" s="842"/>
      <c r="AC6" s="842"/>
      <c r="AD6" s="842"/>
      <c r="AE6" s="842"/>
      <c r="AF6" s="843"/>
      <c r="AK6" s="410" t="s">
        <v>987</v>
      </c>
      <c r="AL6" s="410" t="s">
        <v>988</v>
      </c>
    </row>
    <row r="7" spans="1:232" s="62" customFormat="1" ht="22.5" customHeight="1">
      <c r="A7" s="183" t="s">
        <v>1028</v>
      </c>
      <c r="B7" s="182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6" t="s">
        <v>1033</v>
      </c>
      <c r="H7" s="59" t="s">
        <v>1034</v>
      </c>
      <c r="I7" s="60" t="s">
        <v>1035</v>
      </c>
      <c r="J7" s="61" t="s">
        <v>1036</v>
      </c>
      <c r="K7" s="62" t="s">
        <v>1037</v>
      </c>
      <c r="L7" s="61" t="s">
        <v>1036</v>
      </c>
      <c r="M7" s="62" t="s">
        <v>1037</v>
      </c>
      <c r="N7" s="61" t="s">
        <v>1036</v>
      </c>
      <c r="O7" s="62" t="s">
        <v>1037</v>
      </c>
      <c r="P7" s="61" t="s">
        <v>1036</v>
      </c>
      <c r="Q7" s="62" t="s">
        <v>1037</v>
      </c>
      <c r="R7" s="58" t="s">
        <v>1038</v>
      </c>
      <c r="S7" s="58" t="s">
        <v>1039</v>
      </c>
      <c r="T7" s="58" t="s">
        <v>1040</v>
      </c>
      <c r="U7" s="58" t="s">
        <v>1041</v>
      </c>
      <c r="V7" s="58" t="s">
        <v>1042</v>
      </c>
      <c r="W7" s="58" t="s">
        <v>913</v>
      </c>
      <c r="X7" s="564" t="s">
        <v>1044</v>
      </c>
      <c r="Y7" s="566" t="s">
        <v>1026</v>
      </c>
      <c r="Z7" s="567" t="s">
        <v>1026</v>
      </c>
      <c r="AA7" s="65" t="s">
        <v>914</v>
      </c>
      <c r="AB7" s="58" t="s">
        <v>915</v>
      </c>
      <c r="AC7" s="58" t="s">
        <v>1047</v>
      </c>
      <c r="AD7" s="58" t="s">
        <v>916</v>
      </c>
      <c r="AE7" s="58" t="s">
        <v>917</v>
      </c>
      <c r="AF7" s="58" t="s">
        <v>918</v>
      </c>
      <c r="AG7" s="66"/>
      <c r="AH7" s="66"/>
      <c r="AK7" s="410" t="s">
        <v>989</v>
      </c>
      <c r="AL7" s="410" t="s">
        <v>990</v>
      </c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8" ht="18.75" customHeight="1">
      <c r="A8" s="295">
        <v>39784</v>
      </c>
      <c r="B8" s="283" t="s">
        <v>919</v>
      </c>
      <c r="C8" s="271" t="s">
        <v>920</v>
      </c>
      <c r="D8" s="272"/>
      <c r="E8" s="273"/>
      <c r="F8" s="273"/>
      <c r="G8" s="273"/>
      <c r="H8" s="427">
        <f aca="true" t="shared" si="0" ref="H8:H20">J8+L8+N8+P8</f>
        <v>0</v>
      </c>
      <c r="I8" s="427">
        <f aca="true" t="shared" si="1" ref="I8:I20">K8+M8+O8+Q8</f>
        <v>984</v>
      </c>
      <c r="J8" s="288"/>
      <c r="K8" s="276">
        <v>984</v>
      </c>
      <c r="L8" s="277"/>
      <c r="M8" s="278"/>
      <c r="N8" s="391"/>
      <c r="O8" s="523"/>
      <c r="P8" s="279"/>
      <c r="Q8" s="280"/>
      <c r="R8" s="195"/>
      <c r="S8" s="195"/>
      <c r="T8" s="195"/>
      <c r="U8" s="195"/>
      <c r="V8" s="195"/>
      <c r="W8" s="195"/>
      <c r="X8" s="553"/>
      <c r="Y8" s="568"/>
      <c r="Z8" s="569"/>
      <c r="AA8" s="281"/>
      <c r="AB8" s="282">
        <v>984</v>
      </c>
      <c r="AC8" s="282"/>
      <c r="AD8" s="282"/>
      <c r="AE8" s="282"/>
      <c r="AF8" s="282"/>
      <c r="AG8" s="429"/>
      <c r="AH8" s="429"/>
      <c r="AK8" s="410" t="s">
        <v>991</v>
      </c>
      <c r="AL8" s="410" t="s">
        <v>992</v>
      </c>
    </row>
    <row r="9" spans="1:38" ht="18.75" customHeight="1">
      <c r="A9" s="270">
        <v>39784</v>
      </c>
      <c r="B9" s="292" t="s">
        <v>1051</v>
      </c>
      <c r="C9" s="286" t="s">
        <v>921</v>
      </c>
      <c r="D9" s="287"/>
      <c r="E9" s="273"/>
      <c r="F9" s="273"/>
      <c r="G9" s="273"/>
      <c r="H9" s="427">
        <f t="shared" si="0"/>
        <v>0</v>
      </c>
      <c r="I9" s="427">
        <f t="shared" si="1"/>
        <v>4151.84</v>
      </c>
      <c r="J9" s="275"/>
      <c r="K9" s="276">
        <v>4151.84</v>
      </c>
      <c r="L9" s="277"/>
      <c r="M9" s="278"/>
      <c r="N9" s="391"/>
      <c r="O9" s="523"/>
      <c r="P9" s="279"/>
      <c r="Q9" s="280"/>
      <c r="R9" s="195"/>
      <c r="S9" s="195"/>
      <c r="T9" s="195"/>
      <c r="U9" s="195"/>
      <c r="V9" s="195"/>
      <c r="W9" s="195"/>
      <c r="X9" s="553"/>
      <c r="Y9" s="568"/>
      <c r="Z9" s="569"/>
      <c r="AA9" s="281"/>
      <c r="AB9" s="282">
        <v>4151.84</v>
      </c>
      <c r="AC9" s="282"/>
      <c r="AD9" s="282"/>
      <c r="AE9" s="282"/>
      <c r="AF9" s="282"/>
      <c r="AG9" s="429"/>
      <c r="AH9" s="429"/>
      <c r="AK9" s="410" t="s">
        <v>993</v>
      </c>
      <c r="AL9" s="430" t="s">
        <v>994</v>
      </c>
    </row>
    <row r="10" spans="1:34" ht="18.75" customHeight="1">
      <c r="A10" s="295">
        <v>39784</v>
      </c>
      <c r="B10" s="283" t="s">
        <v>1051</v>
      </c>
      <c r="C10" s="286" t="s">
        <v>922</v>
      </c>
      <c r="D10" s="272" t="s">
        <v>923</v>
      </c>
      <c r="E10" s="293"/>
      <c r="F10" s="293"/>
      <c r="G10" s="293" t="s">
        <v>1054</v>
      </c>
      <c r="H10" s="427">
        <f t="shared" si="0"/>
        <v>15.3</v>
      </c>
      <c r="I10" s="427">
        <f t="shared" si="1"/>
        <v>0</v>
      </c>
      <c r="J10" s="275">
        <v>15.3</v>
      </c>
      <c r="K10" s="276"/>
      <c r="L10" s="277"/>
      <c r="M10" s="278"/>
      <c r="N10" s="391"/>
      <c r="O10" s="523"/>
      <c r="P10" s="279"/>
      <c r="Q10" s="280"/>
      <c r="R10" s="195"/>
      <c r="S10" s="195">
        <v>15.3</v>
      </c>
      <c r="T10" s="195"/>
      <c r="U10" s="195"/>
      <c r="V10" s="195"/>
      <c r="W10" s="195"/>
      <c r="X10" s="553"/>
      <c r="Y10" s="568"/>
      <c r="Z10" s="569"/>
      <c r="AA10" s="281"/>
      <c r="AB10" s="282"/>
      <c r="AC10" s="282"/>
      <c r="AD10" s="282"/>
      <c r="AE10" s="282"/>
      <c r="AF10" s="282"/>
      <c r="AG10" s="429"/>
      <c r="AH10" s="429"/>
    </row>
    <row r="11" spans="1:34" ht="18.75" customHeight="1">
      <c r="A11" s="295">
        <v>39787</v>
      </c>
      <c r="B11" s="283" t="s">
        <v>1055</v>
      </c>
      <c r="C11" s="286" t="s">
        <v>1055</v>
      </c>
      <c r="D11" s="272" t="s">
        <v>923</v>
      </c>
      <c r="E11" s="293"/>
      <c r="F11" s="293"/>
      <c r="G11" s="293" t="s">
        <v>1054</v>
      </c>
      <c r="H11" s="427">
        <f t="shared" si="0"/>
        <v>31.98</v>
      </c>
      <c r="I11" s="427">
        <f t="shared" si="1"/>
        <v>0</v>
      </c>
      <c r="J11" s="275">
        <v>31.98</v>
      </c>
      <c r="K11" s="276"/>
      <c r="L11" s="277"/>
      <c r="M11" s="278"/>
      <c r="N11" s="391"/>
      <c r="O11" s="523"/>
      <c r="P11" s="279"/>
      <c r="Q11" s="280"/>
      <c r="R11" s="195"/>
      <c r="S11" s="195"/>
      <c r="T11" s="195">
        <v>31.98</v>
      </c>
      <c r="U11" s="195"/>
      <c r="V11" s="195"/>
      <c r="W11" s="195"/>
      <c r="X11" s="553"/>
      <c r="Y11" s="568"/>
      <c r="Z11" s="569"/>
      <c r="AA11" s="281"/>
      <c r="AB11" s="282"/>
      <c r="AC11" s="282"/>
      <c r="AD11" s="282"/>
      <c r="AE11" s="282"/>
      <c r="AF11" s="282"/>
      <c r="AG11" s="429"/>
      <c r="AH11" s="429"/>
    </row>
    <row r="12" spans="1:34" ht="18.75" customHeight="1">
      <c r="A12" s="295">
        <v>39790</v>
      </c>
      <c r="B12" s="283" t="s">
        <v>924</v>
      </c>
      <c r="C12" s="431" t="s">
        <v>920</v>
      </c>
      <c r="D12" s="272" t="s">
        <v>1059</v>
      </c>
      <c r="E12" s="293"/>
      <c r="F12" s="273"/>
      <c r="G12" s="273"/>
      <c r="H12" s="427">
        <f t="shared" si="0"/>
        <v>0</v>
      </c>
      <c r="I12" s="427">
        <f t="shared" si="1"/>
        <v>216.97</v>
      </c>
      <c r="J12" s="275"/>
      <c r="K12" s="276">
        <v>216.97</v>
      </c>
      <c r="L12" s="277"/>
      <c r="M12" s="278"/>
      <c r="N12" s="391"/>
      <c r="O12" s="523"/>
      <c r="P12" s="279"/>
      <c r="Q12" s="280"/>
      <c r="R12" s="195"/>
      <c r="S12" s="195"/>
      <c r="T12" s="195"/>
      <c r="U12" s="195"/>
      <c r="V12" s="195"/>
      <c r="W12" s="195"/>
      <c r="X12" s="553"/>
      <c r="Y12" s="568"/>
      <c r="Z12" s="569"/>
      <c r="AA12" s="281"/>
      <c r="AB12" s="282">
        <v>216.97</v>
      </c>
      <c r="AC12" s="282"/>
      <c r="AD12" s="282"/>
      <c r="AE12" s="282"/>
      <c r="AF12" s="282"/>
      <c r="AG12" s="429"/>
      <c r="AH12" s="429"/>
    </row>
    <row r="13" spans="1:34" ht="18.75" customHeight="1">
      <c r="A13" s="295">
        <v>39790</v>
      </c>
      <c r="B13" s="285" t="s">
        <v>989</v>
      </c>
      <c r="C13" s="431" t="s">
        <v>1056</v>
      </c>
      <c r="D13" s="272" t="s">
        <v>923</v>
      </c>
      <c r="E13" s="293" t="s">
        <v>1054</v>
      </c>
      <c r="F13" s="273"/>
      <c r="G13" s="273"/>
      <c r="H13" s="427">
        <f t="shared" si="0"/>
        <v>443.38</v>
      </c>
      <c r="I13" s="427">
        <f t="shared" si="1"/>
        <v>0</v>
      </c>
      <c r="J13" s="288">
        <v>443.38</v>
      </c>
      <c r="K13" s="276"/>
      <c r="L13" s="277"/>
      <c r="M13" s="278"/>
      <c r="N13" s="391"/>
      <c r="O13" s="523"/>
      <c r="P13" s="279"/>
      <c r="Q13" s="280"/>
      <c r="R13" s="195"/>
      <c r="S13" s="195"/>
      <c r="T13" s="195"/>
      <c r="U13" s="195">
        <v>443.38</v>
      </c>
      <c r="V13" s="195"/>
      <c r="W13" s="195"/>
      <c r="X13" s="553"/>
      <c r="Y13" s="568"/>
      <c r="Z13" s="569"/>
      <c r="AA13" s="281"/>
      <c r="AB13" s="282"/>
      <c r="AC13" s="282"/>
      <c r="AD13" s="282"/>
      <c r="AE13" s="282"/>
      <c r="AF13" s="282"/>
      <c r="AG13" s="429"/>
      <c r="AH13" s="429"/>
    </row>
    <row r="14" spans="1:39" s="268" customFormat="1" ht="18.75" customHeight="1">
      <c r="A14" s="295">
        <v>39794</v>
      </c>
      <c r="B14" s="289" t="s">
        <v>1051</v>
      </c>
      <c r="C14" s="271" t="s">
        <v>925</v>
      </c>
      <c r="D14" s="272" t="s">
        <v>1059</v>
      </c>
      <c r="E14" s="273"/>
      <c r="F14" s="273"/>
      <c r="G14" s="273" t="s">
        <v>1054</v>
      </c>
      <c r="H14" s="427">
        <f t="shared" si="0"/>
        <v>0</v>
      </c>
      <c r="I14" s="427">
        <f t="shared" si="1"/>
        <v>0</v>
      </c>
      <c r="J14" s="288"/>
      <c r="K14" s="276"/>
      <c r="L14" s="277"/>
      <c r="M14" s="278"/>
      <c r="N14" s="391"/>
      <c r="O14" s="523"/>
      <c r="P14" s="279"/>
      <c r="Q14" s="280"/>
      <c r="R14" s="195"/>
      <c r="S14" s="195"/>
      <c r="T14" s="195"/>
      <c r="U14" s="195"/>
      <c r="V14" s="195"/>
      <c r="W14" s="195"/>
      <c r="X14" s="553"/>
      <c r="Y14" s="568">
        <v>10800</v>
      </c>
      <c r="Z14" s="570"/>
      <c r="AA14" s="281"/>
      <c r="AB14" s="282"/>
      <c r="AC14" s="282"/>
      <c r="AD14" s="282"/>
      <c r="AE14" s="282"/>
      <c r="AF14" s="282"/>
      <c r="AG14" s="432"/>
      <c r="AH14" s="432"/>
      <c r="AL14" s="294" t="s">
        <v>1001</v>
      </c>
      <c r="AM14" s="294" t="s">
        <v>1002</v>
      </c>
    </row>
    <row r="15" spans="1:34" ht="18.75" customHeight="1">
      <c r="A15" s="295">
        <v>39794</v>
      </c>
      <c r="B15" s="292" t="s">
        <v>1051</v>
      </c>
      <c r="C15" s="271" t="s">
        <v>925</v>
      </c>
      <c r="D15" s="272" t="s">
        <v>1059</v>
      </c>
      <c r="E15" s="293"/>
      <c r="F15" s="293"/>
      <c r="G15" s="293" t="s">
        <v>1054</v>
      </c>
      <c r="H15" s="427">
        <f t="shared" si="0"/>
        <v>0</v>
      </c>
      <c r="I15" s="427">
        <f t="shared" si="1"/>
        <v>10800</v>
      </c>
      <c r="J15" s="288"/>
      <c r="K15" s="276"/>
      <c r="L15" s="277"/>
      <c r="M15" s="278">
        <v>10800</v>
      </c>
      <c r="N15" s="391"/>
      <c r="O15" s="523"/>
      <c r="P15" s="279"/>
      <c r="Q15" s="280"/>
      <c r="R15" s="195"/>
      <c r="S15" s="195"/>
      <c r="T15" s="195"/>
      <c r="U15" s="195"/>
      <c r="V15" s="195"/>
      <c r="W15" s="195"/>
      <c r="X15" s="553"/>
      <c r="Y15" s="568"/>
      <c r="Z15" s="569">
        <v>10800</v>
      </c>
      <c r="AA15" s="281"/>
      <c r="AB15" s="282"/>
      <c r="AC15" s="282"/>
      <c r="AD15" s="282"/>
      <c r="AE15" s="282"/>
      <c r="AF15" s="282"/>
      <c r="AG15" s="429"/>
      <c r="AH15" s="429"/>
    </row>
    <row r="16" spans="1:34" ht="18.75" customHeight="1">
      <c r="A16" s="295">
        <v>39797</v>
      </c>
      <c r="B16" s="292" t="s">
        <v>1051</v>
      </c>
      <c r="C16" s="271" t="s">
        <v>926</v>
      </c>
      <c r="D16" s="272"/>
      <c r="E16" s="293"/>
      <c r="F16" s="293"/>
      <c r="G16" s="293"/>
      <c r="H16" s="427">
        <f t="shared" si="0"/>
        <v>0</v>
      </c>
      <c r="I16" s="427">
        <f t="shared" si="1"/>
        <v>1250.8</v>
      </c>
      <c r="J16" s="288"/>
      <c r="K16" s="276">
        <v>1250.8</v>
      </c>
      <c r="L16" s="277"/>
      <c r="M16" s="278"/>
      <c r="N16" s="649"/>
      <c r="O16" s="650"/>
      <c r="P16" s="279"/>
      <c r="Q16" s="280"/>
      <c r="R16" s="195"/>
      <c r="S16" s="195"/>
      <c r="T16" s="195"/>
      <c r="U16" s="195"/>
      <c r="V16" s="195"/>
      <c r="W16" s="195"/>
      <c r="X16" s="553"/>
      <c r="Y16" s="657"/>
      <c r="Z16" s="658"/>
      <c r="AA16" s="281"/>
      <c r="AB16" s="282">
        <v>1250.8</v>
      </c>
      <c r="AC16" s="282"/>
      <c r="AD16" s="282"/>
      <c r="AE16" s="282"/>
      <c r="AF16" s="282"/>
      <c r="AG16" s="429"/>
      <c r="AH16" s="429"/>
    </row>
    <row r="17" spans="1:34" ht="18.75" customHeight="1">
      <c r="A17" s="295">
        <v>39800</v>
      </c>
      <c r="B17" s="292" t="s">
        <v>927</v>
      </c>
      <c r="C17" s="271" t="s">
        <v>928</v>
      </c>
      <c r="D17" s="272" t="s">
        <v>929</v>
      </c>
      <c r="E17" s="293" t="s">
        <v>1054</v>
      </c>
      <c r="F17" s="293"/>
      <c r="G17" s="293"/>
      <c r="H17" s="427">
        <f t="shared" si="0"/>
        <v>2013.34</v>
      </c>
      <c r="I17" s="427">
        <f t="shared" si="1"/>
        <v>0</v>
      </c>
      <c r="J17" s="749">
        <v>2013.34</v>
      </c>
      <c r="K17" s="276"/>
      <c r="L17" s="277"/>
      <c r="M17" s="278"/>
      <c r="N17" s="649"/>
      <c r="O17" s="650"/>
      <c r="P17" s="279"/>
      <c r="Q17" s="280"/>
      <c r="R17" s="195"/>
      <c r="S17" s="195"/>
      <c r="T17" s="195"/>
      <c r="U17" s="195"/>
      <c r="V17" s="195">
        <v>2013.34</v>
      </c>
      <c r="W17" s="195"/>
      <c r="X17" s="553"/>
      <c r="Y17" s="657"/>
      <c r="Z17" s="658"/>
      <c r="AA17" s="281"/>
      <c r="AB17" s="282"/>
      <c r="AC17" s="282"/>
      <c r="AD17" s="282"/>
      <c r="AE17" s="282"/>
      <c r="AF17" s="282"/>
      <c r="AG17" s="429"/>
      <c r="AH17" s="429"/>
    </row>
    <row r="18" spans="1:34" ht="18.75" customHeight="1">
      <c r="A18" s="295">
        <v>39811</v>
      </c>
      <c r="B18" s="292" t="s">
        <v>930</v>
      </c>
      <c r="C18" s="271" t="s">
        <v>931</v>
      </c>
      <c r="D18" s="272" t="s">
        <v>932</v>
      </c>
      <c r="E18" s="293" t="s">
        <v>1054</v>
      </c>
      <c r="F18" s="293"/>
      <c r="G18" s="293"/>
      <c r="H18" s="427">
        <f t="shared" si="0"/>
        <v>435.62</v>
      </c>
      <c r="I18" s="427">
        <f t="shared" si="1"/>
        <v>0</v>
      </c>
      <c r="J18" s="288">
        <v>435.62</v>
      </c>
      <c r="K18" s="276"/>
      <c r="L18" s="277"/>
      <c r="M18" s="278"/>
      <c r="N18" s="649"/>
      <c r="O18" s="650"/>
      <c r="P18" s="279"/>
      <c r="Q18" s="280"/>
      <c r="R18" s="195"/>
      <c r="S18" s="195"/>
      <c r="T18" s="195">
        <v>435.62</v>
      </c>
      <c r="U18" s="195"/>
      <c r="V18" s="647"/>
      <c r="W18" s="195"/>
      <c r="X18" s="553"/>
      <c r="Y18" s="657"/>
      <c r="Z18" s="658"/>
      <c r="AA18" s="281"/>
      <c r="AB18" s="282"/>
      <c r="AC18" s="282"/>
      <c r="AD18" s="282"/>
      <c r="AE18" s="282"/>
      <c r="AF18" s="282"/>
      <c r="AG18" s="429"/>
      <c r="AH18" s="429"/>
    </row>
    <row r="19" spans="1:34" ht="18.75" customHeight="1">
      <c r="A19" s="295">
        <v>39794</v>
      </c>
      <c r="B19" s="292" t="s">
        <v>1051</v>
      </c>
      <c r="C19" s="271" t="s">
        <v>925</v>
      </c>
      <c r="D19" s="272"/>
      <c r="E19" s="293"/>
      <c r="F19" s="293"/>
      <c r="G19" s="293"/>
      <c r="H19" s="427">
        <f t="shared" si="0"/>
        <v>10800</v>
      </c>
      <c r="I19" s="427">
        <f t="shared" si="1"/>
        <v>0</v>
      </c>
      <c r="J19" s="288">
        <v>10800</v>
      </c>
      <c r="K19" s="276"/>
      <c r="L19" s="277"/>
      <c r="M19" s="278"/>
      <c r="N19" s="649"/>
      <c r="O19" s="650"/>
      <c r="P19" s="279"/>
      <c r="Q19" s="280"/>
      <c r="R19" s="195"/>
      <c r="S19" s="195"/>
      <c r="T19" s="195"/>
      <c r="U19" s="195"/>
      <c r="V19" s="195"/>
      <c r="W19" s="195"/>
      <c r="X19" s="553"/>
      <c r="Y19" s="657"/>
      <c r="Z19" s="658"/>
      <c r="AA19" s="281"/>
      <c r="AB19" s="282"/>
      <c r="AC19" s="282"/>
      <c r="AD19" s="282"/>
      <c r="AE19" s="282"/>
      <c r="AF19" s="282"/>
      <c r="AG19" s="429"/>
      <c r="AH19" s="429"/>
    </row>
    <row r="20" spans="1:34" ht="18.75" customHeight="1" thickBot="1">
      <c r="A20" s="270">
        <v>39812</v>
      </c>
      <c r="B20" s="292" t="s">
        <v>933</v>
      </c>
      <c r="C20" s="271" t="s">
        <v>934</v>
      </c>
      <c r="D20" s="272" t="s">
        <v>935</v>
      </c>
      <c r="E20" s="293" t="s">
        <v>1054</v>
      </c>
      <c r="F20" s="293"/>
      <c r="G20" s="293"/>
      <c r="H20" s="427">
        <f t="shared" si="0"/>
        <v>106.68</v>
      </c>
      <c r="I20" s="427">
        <f t="shared" si="1"/>
        <v>0</v>
      </c>
      <c r="J20" s="275">
        <v>106.68</v>
      </c>
      <c r="K20" s="276"/>
      <c r="L20" s="277"/>
      <c r="M20" s="278"/>
      <c r="N20" s="524"/>
      <c r="O20" s="525"/>
      <c r="P20" s="279"/>
      <c r="Q20" s="280"/>
      <c r="R20" s="195">
        <v>106.68</v>
      </c>
      <c r="S20" s="195"/>
      <c r="T20" s="195"/>
      <c r="U20" s="195"/>
      <c r="V20" s="195"/>
      <c r="W20" s="195"/>
      <c r="X20" s="553"/>
      <c r="Y20" s="571"/>
      <c r="Z20" s="572"/>
      <c r="AA20" s="281"/>
      <c r="AB20" s="282"/>
      <c r="AC20" s="282"/>
      <c r="AD20" s="282"/>
      <c r="AE20" s="282"/>
      <c r="AF20" s="282"/>
      <c r="AG20" s="429"/>
      <c r="AH20" s="429"/>
    </row>
    <row r="21" spans="1:32" ht="18.75" customHeight="1" thickBot="1">
      <c r="A21" s="433"/>
      <c r="B21" s="434"/>
      <c r="C21" s="435" t="s">
        <v>936</v>
      </c>
      <c r="D21" s="436"/>
      <c r="E21" s="437"/>
      <c r="F21" s="437"/>
      <c r="G21" s="437"/>
      <c r="H21" s="438">
        <f aca="true" t="shared" si="2" ref="H21:AF21">SUM(H8:H20)</f>
        <v>13846.3</v>
      </c>
      <c r="I21" s="439">
        <f t="shared" si="2"/>
        <v>17403.61</v>
      </c>
      <c r="J21" s="440">
        <f t="shared" si="2"/>
        <v>13846.3</v>
      </c>
      <c r="K21" s="440">
        <f t="shared" si="2"/>
        <v>6603.610000000001</v>
      </c>
      <c r="L21" s="440">
        <f t="shared" si="2"/>
        <v>0</v>
      </c>
      <c r="M21" s="440">
        <f t="shared" si="2"/>
        <v>10800</v>
      </c>
      <c r="N21" s="440">
        <f t="shared" si="2"/>
        <v>0</v>
      </c>
      <c r="O21" s="440">
        <f t="shared" si="2"/>
        <v>0</v>
      </c>
      <c r="P21" s="440">
        <f t="shared" si="2"/>
        <v>0</v>
      </c>
      <c r="Q21" s="440">
        <f t="shared" si="2"/>
        <v>0</v>
      </c>
      <c r="R21" s="440">
        <f t="shared" si="2"/>
        <v>106.68</v>
      </c>
      <c r="S21" s="440">
        <f t="shared" si="2"/>
        <v>15.3</v>
      </c>
      <c r="T21" s="440">
        <f t="shared" si="2"/>
        <v>467.6</v>
      </c>
      <c r="U21" s="440">
        <f t="shared" si="2"/>
        <v>443.38</v>
      </c>
      <c r="V21" s="440">
        <f t="shared" si="2"/>
        <v>2013.34</v>
      </c>
      <c r="W21" s="440">
        <f t="shared" si="2"/>
        <v>0</v>
      </c>
      <c r="X21" s="440">
        <f t="shared" si="2"/>
        <v>0</v>
      </c>
      <c r="Y21" s="440">
        <f t="shared" si="2"/>
        <v>10800</v>
      </c>
      <c r="Z21" s="440">
        <f t="shared" si="2"/>
        <v>10800</v>
      </c>
      <c r="AA21" s="440">
        <f t="shared" si="2"/>
        <v>0</v>
      </c>
      <c r="AB21" s="440">
        <f t="shared" si="2"/>
        <v>6603.610000000001</v>
      </c>
      <c r="AC21" s="440">
        <f t="shared" si="2"/>
        <v>0</v>
      </c>
      <c r="AD21" s="440">
        <f t="shared" si="2"/>
        <v>0</v>
      </c>
      <c r="AE21" s="440">
        <f t="shared" si="2"/>
        <v>0</v>
      </c>
      <c r="AF21" s="440">
        <f t="shared" si="2"/>
        <v>0</v>
      </c>
    </row>
    <row r="22" spans="2:32" ht="12">
      <c r="B22" s="441"/>
      <c r="C22" s="441"/>
      <c r="D22" s="442"/>
      <c r="E22" s="422"/>
      <c r="F22" s="422"/>
      <c r="G22" s="422"/>
      <c r="H22" s="443"/>
      <c r="I22" s="443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</row>
    <row r="23" spans="2:32" s="445" customFormat="1" ht="18.75" customHeight="1" thickBot="1">
      <c r="B23" s="446"/>
      <c r="C23" s="446"/>
      <c r="D23" s="407"/>
      <c r="E23" s="397"/>
      <c r="F23" s="397"/>
      <c r="G23" s="447" t="s">
        <v>1066</v>
      </c>
      <c r="H23" s="448">
        <f>(J21+L21+P21)-Y21</f>
        <v>3046.2999999999993</v>
      </c>
      <c r="J23" s="449"/>
      <c r="K23" s="400"/>
      <c r="N23" s="449"/>
      <c r="O23" s="449" t="s">
        <v>1067</v>
      </c>
      <c r="P23" s="450">
        <f>(K21+M21+Q21)-Z21</f>
        <v>6603.610000000001</v>
      </c>
      <c r="Q23" s="451"/>
      <c r="T23" s="449" t="s">
        <v>1068</v>
      </c>
      <c r="U23" s="549">
        <f>(R21+S21+T21+U21+V21+W21+X21)</f>
        <v>3046.3</v>
      </c>
      <c r="V23" s="453"/>
      <c r="W23" s="453"/>
      <c r="X23" s="453"/>
      <c r="Y23" s="454"/>
      <c r="AA23" s="455"/>
      <c r="AC23" s="447" t="s">
        <v>885</v>
      </c>
      <c r="AD23" s="550">
        <f>(AA21+AB21+AC21+AD21+AE21+AF21)</f>
        <v>6603.610000000001</v>
      </c>
      <c r="AE23" s="453"/>
      <c r="AF23" s="453"/>
    </row>
    <row r="24" spans="2:32" s="457" customFormat="1" ht="18.75" customHeight="1" thickBot="1">
      <c r="B24" s="458"/>
      <c r="C24" s="459" t="s">
        <v>937</v>
      </c>
      <c r="D24" s="460"/>
      <c r="E24" s="397"/>
      <c r="F24" s="397"/>
      <c r="G24" s="461"/>
      <c r="H24" s="462">
        <f aca="true" t="shared" si="3" ref="H24:AF24">SUM(H3+H21)</f>
        <v>15639.519999999999</v>
      </c>
      <c r="I24" s="463">
        <f t="shared" si="3"/>
        <v>18791.510000000002</v>
      </c>
      <c r="J24" s="464">
        <f t="shared" si="3"/>
        <v>15639.519999999999</v>
      </c>
      <c r="K24" s="464">
        <f t="shared" si="3"/>
        <v>21871.78</v>
      </c>
      <c r="L24" s="464">
        <f t="shared" si="3"/>
        <v>0</v>
      </c>
      <c r="M24" s="464">
        <f t="shared" si="3"/>
        <v>62875.41</v>
      </c>
      <c r="N24" s="464">
        <f t="shared" si="3"/>
        <v>0</v>
      </c>
      <c r="O24" s="464">
        <f t="shared" si="3"/>
        <v>76861.54</v>
      </c>
      <c r="P24" s="464">
        <f t="shared" si="3"/>
        <v>0</v>
      </c>
      <c r="Q24" s="464">
        <f t="shared" si="3"/>
        <v>115.16</v>
      </c>
      <c r="R24" s="464">
        <f t="shared" si="3"/>
        <v>106.68</v>
      </c>
      <c r="S24" s="464">
        <f t="shared" si="3"/>
        <v>30.6</v>
      </c>
      <c r="T24" s="464">
        <f t="shared" si="3"/>
        <v>499.63</v>
      </c>
      <c r="U24" s="464">
        <f t="shared" si="3"/>
        <v>974.27</v>
      </c>
      <c r="V24" s="464">
        <f t="shared" si="3"/>
        <v>2013.34</v>
      </c>
      <c r="W24" s="464">
        <f t="shared" si="3"/>
        <v>0</v>
      </c>
      <c r="X24" s="464">
        <f t="shared" si="3"/>
        <v>15</v>
      </c>
      <c r="Y24" s="464">
        <f t="shared" si="3"/>
        <v>12000</v>
      </c>
      <c r="Z24" s="464">
        <f t="shared" si="3"/>
        <v>12000</v>
      </c>
      <c r="AA24" s="464">
        <f t="shared" si="3"/>
        <v>0</v>
      </c>
      <c r="AB24" s="464">
        <f t="shared" si="3"/>
        <v>6791.51</v>
      </c>
      <c r="AC24" s="464">
        <f t="shared" si="3"/>
        <v>0</v>
      </c>
      <c r="AD24" s="464">
        <f t="shared" si="3"/>
        <v>0</v>
      </c>
      <c r="AE24" s="464">
        <f t="shared" si="3"/>
        <v>0</v>
      </c>
      <c r="AF24" s="464">
        <f t="shared" si="3"/>
        <v>0</v>
      </c>
    </row>
    <row r="25" spans="2:32" s="457" customFormat="1" ht="12.75" thickBot="1">
      <c r="B25" s="458"/>
      <c r="C25" s="458"/>
      <c r="D25" s="460"/>
      <c r="E25" s="397"/>
      <c r="F25" s="397"/>
      <c r="G25" s="461"/>
      <c r="H25" s="465"/>
      <c r="I25" s="466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</row>
    <row r="26" spans="2:32" s="445" customFormat="1" ht="18.75" customHeight="1" thickBot="1">
      <c r="B26" s="458"/>
      <c r="C26" s="468"/>
      <c r="D26" s="407"/>
      <c r="E26" s="397"/>
      <c r="F26" s="397"/>
      <c r="G26" s="447" t="s">
        <v>887</v>
      </c>
      <c r="H26" s="469">
        <f>(J24+L24+P24)-Y24</f>
        <v>3639.5199999999986</v>
      </c>
      <c r="J26" s="449"/>
      <c r="K26" s="400"/>
      <c r="N26" s="449"/>
      <c r="O26" s="449" t="s">
        <v>938</v>
      </c>
      <c r="P26" s="450">
        <f>(K24+M24+O24+Q24)-Y24</f>
        <v>149723.88999999998</v>
      </c>
      <c r="Q26" s="451"/>
      <c r="R26" s="449" t="s">
        <v>887</v>
      </c>
      <c r="S26" s="452">
        <f>(R24+S24+T24+U24+V24+W24+X24)</f>
        <v>3639.5199999999995</v>
      </c>
      <c r="T26" s="453"/>
      <c r="U26" s="453"/>
      <c r="V26" s="453"/>
      <c r="W26" s="453"/>
      <c r="X26" s="453"/>
      <c r="Y26" s="470"/>
      <c r="AA26" s="455"/>
      <c r="AB26" s="447" t="s">
        <v>1069</v>
      </c>
      <c r="AC26" s="456">
        <f>(Z24+AA24+AB24+AC24+AD24+AE24+AF24)</f>
        <v>18791.510000000002</v>
      </c>
      <c r="AD26" s="453"/>
      <c r="AE26" s="453"/>
      <c r="AF26" s="453"/>
    </row>
    <row r="27" spans="2:28" ht="18.75" customHeight="1" thickBot="1">
      <c r="B27" s="458"/>
      <c r="C27" s="471" t="s">
        <v>1076</v>
      </c>
      <c r="D27" s="472" t="s">
        <v>1071</v>
      </c>
      <c r="E27" s="473"/>
      <c r="F27" s="473"/>
      <c r="G27" s="473"/>
      <c r="H27" s="474">
        <f>nov14!H26</f>
        <v>13474.95</v>
      </c>
      <c r="I27" s="475"/>
      <c r="J27" s="476" t="s">
        <v>1072</v>
      </c>
      <c r="K27" s="474">
        <f>nov14!K26</f>
        <v>52075.41</v>
      </c>
      <c r="L27" s="477"/>
      <c r="M27" s="345" t="s">
        <v>1073</v>
      </c>
      <c r="N27" s="543">
        <f>nov14!N24</f>
        <v>76861.54</v>
      </c>
      <c r="O27" s="477"/>
      <c r="P27" s="478" t="s">
        <v>981</v>
      </c>
      <c r="Q27" s="474">
        <f>nov14!Q26</f>
        <v>115.16</v>
      </c>
      <c r="AB27" s="479"/>
    </row>
    <row r="28" spans="2:28" s="480" customFormat="1" ht="12.75" thickBot="1">
      <c r="B28" s="425"/>
      <c r="C28" s="481" t="s">
        <v>894</v>
      </c>
      <c r="D28" s="482"/>
      <c r="E28" s="397"/>
      <c r="F28" s="397"/>
      <c r="G28" s="397"/>
      <c r="H28" s="483"/>
      <c r="I28" s="484"/>
      <c r="J28" s="483"/>
      <c r="K28" s="483"/>
      <c r="L28" s="484"/>
      <c r="M28" s="484"/>
      <c r="N28" s="484"/>
      <c r="O28" s="484"/>
      <c r="P28" s="483"/>
      <c r="Q28" s="400"/>
      <c r="R28" s="485"/>
      <c r="S28" s="476" t="s">
        <v>1074</v>
      </c>
      <c r="T28" s="486"/>
      <c r="U28" s="487"/>
      <c r="V28" s="487"/>
      <c r="W28" s="487"/>
      <c r="X28" s="476" t="s">
        <v>1075</v>
      </c>
      <c r="Y28" s="488"/>
      <c r="Z28" s="486"/>
      <c r="AB28" s="405"/>
    </row>
    <row r="29" spans="2:28" ht="18.75" customHeight="1" thickBot="1" thickTop="1">
      <c r="B29" s="489"/>
      <c r="C29" s="490" t="s">
        <v>939</v>
      </c>
      <c r="D29" s="491" t="s">
        <v>1071</v>
      </c>
      <c r="E29" s="492"/>
      <c r="F29" s="492"/>
      <c r="G29" s="492"/>
      <c r="H29" s="493">
        <f>SUM(H27+K21)-(J21)</f>
        <v>6232.260000000002</v>
      </c>
      <c r="I29" s="494"/>
      <c r="J29" s="495" t="s">
        <v>1072</v>
      </c>
      <c r="K29" s="493">
        <f>K27+M21-L21</f>
        <v>62875.41</v>
      </c>
      <c r="M29" s="345" t="s">
        <v>1073</v>
      </c>
      <c r="N29" s="544">
        <f>N27+O21-N21</f>
        <v>76861.54</v>
      </c>
      <c r="P29" s="495" t="s">
        <v>981</v>
      </c>
      <c r="Q29" s="493">
        <f>SUM(Q27+Q21)-(P21)</f>
        <v>115.16</v>
      </c>
      <c r="R29" s="496"/>
      <c r="S29" s="495" t="s">
        <v>1077</v>
      </c>
      <c r="T29" s="497"/>
      <c r="X29" s="495" t="s">
        <v>898</v>
      </c>
      <c r="Y29" s="498"/>
      <c r="Z29" s="497"/>
      <c r="AB29" s="499"/>
    </row>
    <row r="30" spans="2:28" ht="18.75" customHeight="1" thickTop="1">
      <c r="B30" s="489"/>
      <c r="C30" s="489"/>
      <c r="D30" s="538"/>
      <c r="E30" s="422"/>
      <c r="F30" s="422"/>
      <c r="G30" s="422"/>
      <c r="H30" s="541"/>
      <c r="I30" s="494"/>
      <c r="J30" s="496"/>
      <c r="K30" s="541"/>
      <c r="M30" s="353"/>
      <c r="N30" s="542"/>
      <c r="P30" s="496"/>
      <c r="Q30" s="539"/>
      <c r="R30" s="496"/>
      <c r="S30" s="496"/>
      <c r="T30" s="540"/>
      <c r="X30" s="496"/>
      <c r="Y30" s="498"/>
      <c r="Z30" s="540"/>
      <c r="AB30" s="499"/>
    </row>
    <row r="31" spans="2:28" s="457" customFormat="1" ht="12">
      <c r="B31" s="446" t="s">
        <v>899</v>
      </c>
      <c r="C31" s="500"/>
      <c r="D31" s="501" t="s">
        <v>900</v>
      </c>
      <c r="E31" s="502"/>
      <c r="F31" s="502"/>
      <c r="G31" s="502"/>
      <c r="H31" s="503"/>
      <c r="I31" s="501" t="s">
        <v>901</v>
      </c>
      <c r="J31" s="503"/>
      <c r="K31" s="503"/>
      <c r="L31" s="501" t="s">
        <v>902</v>
      </c>
      <c r="M31" s="501"/>
      <c r="N31" s="501"/>
      <c r="O31" s="501"/>
      <c r="P31" s="503"/>
      <c r="Q31" s="503"/>
      <c r="R31" s="501" t="s">
        <v>903</v>
      </c>
      <c r="S31" s="400"/>
      <c r="T31" s="501" t="s">
        <v>900</v>
      </c>
      <c r="U31" s="400"/>
      <c r="V31" s="400"/>
      <c r="W31" s="400"/>
      <c r="X31" s="501" t="s">
        <v>901</v>
      </c>
      <c r="Y31" s="504"/>
      <c r="Z31" s="503"/>
      <c r="AB31" s="505"/>
    </row>
    <row r="32" spans="2:28" s="457" customFormat="1" ht="12">
      <c r="B32" s="446"/>
      <c r="C32" s="500"/>
      <c r="D32" s="501"/>
      <c r="E32" s="502"/>
      <c r="F32" s="502"/>
      <c r="G32" s="502"/>
      <c r="H32" s="503"/>
      <c r="I32" s="501"/>
      <c r="J32" s="503"/>
      <c r="K32" s="503"/>
      <c r="L32" s="501"/>
      <c r="M32" s="501"/>
      <c r="N32" s="501"/>
      <c r="O32" s="501"/>
      <c r="P32" s="503"/>
      <c r="Q32" s="503"/>
      <c r="R32" s="501"/>
      <c r="S32" s="400"/>
      <c r="T32" s="501"/>
      <c r="U32" s="400"/>
      <c r="V32" s="400"/>
      <c r="W32" s="400"/>
      <c r="X32" s="501"/>
      <c r="Y32" s="504"/>
      <c r="Z32" s="503"/>
      <c r="AB32" s="505"/>
    </row>
    <row r="33" spans="2:28" s="506" customFormat="1" ht="12">
      <c r="B33" s="506" t="s">
        <v>940</v>
      </c>
      <c r="C33" s="507"/>
      <c r="D33" s="506" t="s">
        <v>905</v>
      </c>
      <c r="E33" s="508"/>
      <c r="F33" s="508"/>
      <c r="H33" s="509"/>
      <c r="I33" s="510"/>
      <c r="J33" s="511"/>
      <c r="K33" s="511"/>
      <c r="L33" s="510"/>
      <c r="M33" s="510"/>
      <c r="N33" s="510"/>
      <c r="O33" s="510"/>
      <c r="P33" s="511"/>
      <c r="Q33" s="511"/>
      <c r="R33" s="510" t="s">
        <v>941</v>
      </c>
      <c r="S33" s="400"/>
      <c r="T33" s="506" t="s">
        <v>905</v>
      </c>
      <c r="U33" s="400"/>
      <c r="V33" s="400"/>
      <c r="W33" s="400"/>
      <c r="X33" s="510"/>
      <c r="Y33" s="512"/>
      <c r="Z33" s="509"/>
      <c r="AB33" s="513"/>
    </row>
    <row r="34" spans="3:28" s="506" customFormat="1" ht="34.5" customHeight="1">
      <c r="C34" s="507"/>
      <c r="E34" s="508"/>
      <c r="F34" s="508"/>
      <c r="H34" s="509"/>
      <c r="I34" s="510"/>
      <c r="J34" s="511"/>
      <c r="K34" s="511"/>
      <c r="L34" s="510"/>
      <c r="M34" s="510"/>
      <c r="N34" s="510"/>
      <c r="O34" s="510"/>
      <c r="P34" s="511"/>
      <c r="Q34" s="511"/>
      <c r="R34" s="510"/>
      <c r="S34" s="400"/>
      <c r="U34" s="400"/>
      <c r="V34" s="400"/>
      <c r="W34" s="400"/>
      <c r="X34" s="510"/>
      <c r="Y34" s="512"/>
      <c r="Z34" s="509"/>
      <c r="AB34" s="513"/>
    </row>
    <row r="35" spans="3:28" ht="18.75" customHeight="1">
      <c r="C35" s="514" t="s">
        <v>906</v>
      </c>
      <c r="D35" s="515"/>
      <c r="E35" s="516"/>
      <c r="F35" s="516"/>
      <c r="G35" s="517"/>
      <c r="H35" s="518">
        <f>H29+K29+N29+Q29</f>
        <v>146084.37000000002</v>
      </c>
      <c r="AB35" s="519"/>
    </row>
    <row r="36" ht="12">
      <c r="J36" s="521"/>
    </row>
    <row r="39" ht="12">
      <c r="J39" s="40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4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X14" sqref="X14"/>
    </sheetView>
  </sheetViews>
  <sheetFormatPr defaultColWidth="11.7109375" defaultRowHeight="12.75"/>
  <cols>
    <col min="1" max="1" width="7.00390625" style="407" customWidth="1"/>
    <col min="2" max="2" width="15.140625" style="398" customWidth="1"/>
    <col min="3" max="3" width="4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5" width="11.7109375" style="400" customWidth="1"/>
    <col min="16" max="16" width="12.421875" style="400" customWidth="1"/>
    <col min="17" max="18" width="13.140625" style="400" customWidth="1"/>
    <col min="19" max="19" width="11.7109375" style="400" customWidth="1"/>
    <col min="20" max="24" width="10.7109375" style="400" customWidth="1"/>
    <col min="25" max="25" width="12.00390625" style="409" customWidth="1"/>
    <col min="26" max="26" width="12.28125" style="400" customWidth="1"/>
    <col min="27" max="27" width="10.7109375" style="407" customWidth="1"/>
    <col min="28" max="28" width="10.7109375" style="522" customWidth="1"/>
    <col min="29" max="29" width="10.8515625" style="407" customWidth="1"/>
    <col min="30" max="32" width="10.7109375" style="407" customWidth="1"/>
    <col min="33" max="16384" width="11.7109375" style="407" customWidth="1"/>
  </cols>
  <sheetData>
    <row r="1" spans="2:37" s="397" customFormat="1" ht="16.5" customHeight="1">
      <c r="B1" s="398"/>
      <c r="C1" s="55" t="s">
        <v>942</v>
      </c>
      <c r="D1" s="399"/>
      <c r="H1" s="400" t="s">
        <v>1016</v>
      </c>
      <c r="I1" s="401"/>
      <c r="J1" s="402" t="s">
        <v>943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944</v>
      </c>
      <c r="AB1" s="405"/>
      <c r="AJ1" s="406" t="s">
        <v>969</v>
      </c>
      <c r="AK1" s="406" t="s">
        <v>970</v>
      </c>
    </row>
    <row r="2" spans="2:37" ht="12" customHeight="1" thickBot="1">
      <c r="B2" s="407"/>
      <c r="C2" s="408"/>
      <c r="D2" s="407"/>
      <c r="H2" s="400"/>
      <c r="I2" s="400"/>
      <c r="AB2" s="405"/>
      <c r="AJ2" s="410" t="s">
        <v>971</v>
      </c>
      <c r="AK2" s="411" t="s">
        <v>972</v>
      </c>
    </row>
    <row r="3" spans="3:37" s="412" customFormat="1" ht="22.5" customHeight="1" thickBot="1">
      <c r="C3" s="413"/>
      <c r="D3" s="414"/>
      <c r="E3" s="832" t="s">
        <v>1018</v>
      </c>
      <c r="F3" s="833"/>
      <c r="G3" s="834"/>
      <c r="H3" s="415">
        <f>'Déc 14'!H24</f>
        <v>15639.519999999999</v>
      </c>
      <c r="I3" s="415">
        <f>'Déc 14'!I24</f>
        <v>18791.510000000002</v>
      </c>
      <c r="J3" s="415">
        <f>'Déc 14'!J24</f>
        <v>15639.519999999999</v>
      </c>
      <c r="K3" s="415">
        <f>'Déc 14'!K24</f>
        <v>21871.78</v>
      </c>
      <c r="L3" s="415">
        <f>'Déc 14'!L24</f>
        <v>0</v>
      </c>
      <c r="M3" s="415">
        <f>'Déc 14'!M24</f>
        <v>62875.41</v>
      </c>
      <c r="N3" s="415">
        <f>'Déc 14'!N24</f>
        <v>0</v>
      </c>
      <c r="O3" s="415">
        <f>'Déc 14'!O24</f>
        <v>76861.54</v>
      </c>
      <c r="P3" s="415">
        <f>'Déc 14'!P24</f>
        <v>0</v>
      </c>
      <c r="Q3" s="415">
        <f>'Déc 14'!Q24</f>
        <v>115.16</v>
      </c>
      <c r="R3" s="415">
        <f>'Déc 14'!R24</f>
        <v>106.68</v>
      </c>
      <c r="S3" s="415">
        <f>'Déc 14'!S24</f>
        <v>30.6</v>
      </c>
      <c r="T3" s="415">
        <f>'Déc 14'!T24</f>
        <v>499.63</v>
      </c>
      <c r="U3" s="415">
        <f>'Déc 14'!U24</f>
        <v>974.27</v>
      </c>
      <c r="V3" s="415">
        <f>'Déc 14'!V24</f>
        <v>2013.34</v>
      </c>
      <c r="W3" s="415">
        <f>'Déc 14'!W24</f>
        <v>0</v>
      </c>
      <c r="X3" s="415">
        <f>'Déc 14'!X24</f>
        <v>15</v>
      </c>
      <c r="Y3" s="415">
        <f>'Déc 14'!Y24</f>
        <v>12000</v>
      </c>
      <c r="Z3" s="415">
        <f>'Déc 14'!Z24</f>
        <v>12000</v>
      </c>
      <c r="AA3" s="415">
        <f>'Déc 14'!AA24</f>
        <v>0</v>
      </c>
      <c r="AB3" s="415">
        <f>'Déc 14'!AB24</f>
        <v>6791.51</v>
      </c>
      <c r="AC3" s="415">
        <f>'Déc 14'!AC24</f>
        <v>0</v>
      </c>
      <c r="AD3" s="415">
        <f>'Déc 14'!AD24</f>
        <v>0</v>
      </c>
      <c r="AE3" s="415">
        <f>'Déc 14'!AE24</f>
        <v>0</v>
      </c>
      <c r="AF3" s="415">
        <f>'Déc 14'!AF24</f>
        <v>0</v>
      </c>
      <c r="AJ3" s="410" t="s">
        <v>973</v>
      </c>
      <c r="AK3" s="410" t="s">
        <v>974</v>
      </c>
    </row>
    <row r="4" spans="2:37" s="412" customFormat="1" ht="15" customHeight="1" thickBot="1">
      <c r="B4" s="416"/>
      <c r="C4" s="413"/>
      <c r="D4" s="414"/>
      <c r="E4" s="397"/>
      <c r="F4" s="397"/>
      <c r="G4" s="397"/>
      <c r="H4" s="803" t="s">
        <v>1019</v>
      </c>
      <c r="I4" s="804"/>
      <c r="J4" s="856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63">
        <v>58</v>
      </c>
      <c r="Z4" s="864"/>
      <c r="AA4" s="857" t="s">
        <v>945</v>
      </c>
      <c r="AB4" s="838"/>
      <c r="AC4" s="838"/>
      <c r="AD4" s="838"/>
      <c r="AE4" s="838"/>
      <c r="AF4" s="839"/>
      <c r="AJ4" s="410" t="s">
        <v>979</v>
      </c>
      <c r="AK4" s="410" t="s">
        <v>980</v>
      </c>
    </row>
    <row r="5" spans="2:37" s="419" customFormat="1" ht="22.5" customHeight="1">
      <c r="B5" s="420"/>
      <c r="C5" s="413"/>
      <c r="D5" s="421"/>
      <c r="E5" s="422"/>
      <c r="F5" s="422"/>
      <c r="G5" s="422"/>
      <c r="H5" s="805"/>
      <c r="I5" s="806"/>
      <c r="J5" s="854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J5" s="410" t="s">
        <v>981</v>
      </c>
      <c r="AK5" s="410" t="s">
        <v>982</v>
      </c>
    </row>
    <row r="6" spans="2:37" ht="22.5" customHeight="1" thickBot="1">
      <c r="B6" s="425"/>
      <c r="C6" s="408"/>
      <c r="D6" s="425"/>
      <c r="E6" s="422"/>
      <c r="F6" s="422"/>
      <c r="G6" s="422"/>
      <c r="H6" s="807"/>
      <c r="I6" s="808"/>
      <c r="J6" s="855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J6" s="410" t="s">
        <v>987</v>
      </c>
      <c r="AK6" s="410" t="s">
        <v>988</v>
      </c>
    </row>
    <row r="7" spans="1:232" s="62" customFormat="1" ht="39" customHeight="1">
      <c r="A7" s="183" t="s">
        <v>1028</v>
      </c>
      <c r="B7" s="182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536" t="s">
        <v>1034</v>
      </c>
      <c r="I7" s="537" t="s">
        <v>1035</v>
      </c>
      <c r="J7" s="536" t="s">
        <v>1036</v>
      </c>
      <c r="K7" s="537" t="s">
        <v>1037</v>
      </c>
      <c r="L7" s="536" t="s">
        <v>1036</v>
      </c>
      <c r="M7" s="537" t="s">
        <v>1037</v>
      </c>
      <c r="N7" s="536" t="s">
        <v>1036</v>
      </c>
      <c r="O7" s="537" t="s">
        <v>1037</v>
      </c>
      <c r="P7" s="535" t="s">
        <v>1036</v>
      </c>
      <c r="Q7" s="579" t="s">
        <v>1037</v>
      </c>
      <c r="R7" s="65" t="s">
        <v>1038</v>
      </c>
      <c r="S7" s="58" t="s">
        <v>1039</v>
      </c>
      <c r="T7" s="58" t="s">
        <v>1040</v>
      </c>
      <c r="U7" s="58" t="s">
        <v>1041</v>
      </c>
      <c r="V7" s="58" t="s">
        <v>1042</v>
      </c>
      <c r="W7" s="58" t="s">
        <v>913</v>
      </c>
      <c r="X7" s="564" t="s">
        <v>1044</v>
      </c>
      <c r="Y7" s="573" t="s">
        <v>1026</v>
      </c>
      <c r="Z7" s="574" t="s">
        <v>1026</v>
      </c>
      <c r="AA7" s="65" t="s">
        <v>914</v>
      </c>
      <c r="AB7" s="58" t="s">
        <v>915</v>
      </c>
      <c r="AC7" s="58" t="s">
        <v>1047</v>
      </c>
      <c r="AD7" s="58" t="s">
        <v>916</v>
      </c>
      <c r="AE7" s="58" t="s">
        <v>946</v>
      </c>
      <c r="AF7" s="58" t="s">
        <v>918</v>
      </c>
      <c r="AG7" s="66"/>
      <c r="AH7" s="66"/>
      <c r="AJ7" s="410" t="s">
        <v>989</v>
      </c>
      <c r="AK7" s="410" t="s">
        <v>990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7" ht="27.75" customHeight="1">
      <c r="A8" s="581">
        <v>39452</v>
      </c>
      <c r="B8" s="532" t="s">
        <v>1051</v>
      </c>
      <c r="C8" s="532" t="s">
        <v>926</v>
      </c>
      <c r="D8" s="272"/>
      <c r="E8" s="273"/>
      <c r="F8" s="273"/>
      <c r="G8" s="273"/>
      <c r="H8" s="427">
        <f>J8+L8+N8+P8</f>
        <v>0</v>
      </c>
      <c r="I8" s="427">
        <f>K8+M8+O8+Q8</f>
        <v>1410.39</v>
      </c>
      <c r="J8" s="288"/>
      <c r="K8" s="276">
        <v>1410.39</v>
      </c>
      <c r="L8" s="277"/>
      <c r="M8" s="278"/>
      <c r="N8" s="391"/>
      <c r="O8" s="545"/>
      <c r="P8" s="279"/>
      <c r="Q8" s="280"/>
      <c r="R8" s="195"/>
      <c r="S8" s="195"/>
      <c r="T8" s="195"/>
      <c r="U8" s="195"/>
      <c r="V8" s="195"/>
      <c r="W8" s="195"/>
      <c r="X8" s="553"/>
      <c r="Y8" s="568"/>
      <c r="Z8" s="569"/>
      <c r="AA8" s="281"/>
      <c r="AB8" s="282">
        <v>1410.39</v>
      </c>
      <c r="AC8" s="282"/>
      <c r="AD8" s="282"/>
      <c r="AE8" s="282"/>
      <c r="AF8" s="282"/>
      <c r="AG8" s="429"/>
      <c r="AH8" s="429"/>
      <c r="AJ8" s="410" t="s">
        <v>991</v>
      </c>
      <c r="AK8" s="410" t="s">
        <v>992</v>
      </c>
    </row>
    <row r="9" spans="1:37" ht="27.75" customHeight="1">
      <c r="A9" s="581">
        <v>39452</v>
      </c>
      <c r="B9" s="605" t="s">
        <v>1051</v>
      </c>
      <c r="C9" s="532" t="s">
        <v>947</v>
      </c>
      <c r="D9" s="272" t="s">
        <v>1053</v>
      </c>
      <c r="E9" s="273"/>
      <c r="F9" s="273"/>
      <c r="G9" s="273" t="s">
        <v>1054</v>
      </c>
      <c r="H9" s="427">
        <f aca="true" t="shared" si="0" ref="H9:H18">J9+L9+N9+P9</f>
        <v>15.3</v>
      </c>
      <c r="I9" s="427">
        <f aca="true" t="shared" si="1" ref="I9:I18">K9+M9+O9+Q9</f>
        <v>0</v>
      </c>
      <c r="J9" s="275">
        <v>15.3</v>
      </c>
      <c r="K9" s="276"/>
      <c r="L9" s="277"/>
      <c r="M9" s="278"/>
      <c r="N9" s="391"/>
      <c r="O9" s="545"/>
      <c r="P9" s="279"/>
      <c r="Q9" s="280"/>
      <c r="R9" s="195"/>
      <c r="S9" s="195">
        <v>15.3</v>
      </c>
      <c r="T9" s="195"/>
      <c r="U9" s="195"/>
      <c r="V9" s="195"/>
      <c r="W9" s="195"/>
      <c r="X9" s="553"/>
      <c r="Y9" s="568"/>
      <c r="Z9" s="569"/>
      <c r="AA9" s="281"/>
      <c r="AB9" s="282"/>
      <c r="AC9" s="282"/>
      <c r="AD9" s="282"/>
      <c r="AE9" s="282"/>
      <c r="AF9" s="282"/>
      <c r="AG9" s="429"/>
      <c r="AH9" s="429"/>
      <c r="AJ9" s="410" t="s">
        <v>993</v>
      </c>
      <c r="AK9" s="430" t="s">
        <v>994</v>
      </c>
    </row>
    <row r="10" spans="1:37" ht="27.75" customHeight="1">
      <c r="A10" s="581">
        <v>39452</v>
      </c>
      <c r="B10" s="748" t="s">
        <v>924</v>
      </c>
      <c r="C10" s="532" t="s">
        <v>920</v>
      </c>
      <c r="D10" s="272" t="s">
        <v>1059</v>
      </c>
      <c r="E10" s="273"/>
      <c r="F10" s="273"/>
      <c r="G10" s="273"/>
      <c r="H10" s="427">
        <f t="shared" si="0"/>
        <v>0</v>
      </c>
      <c r="I10" s="427">
        <f t="shared" si="1"/>
        <v>217</v>
      </c>
      <c r="J10" s="288"/>
      <c r="K10" s="276">
        <v>217</v>
      </c>
      <c r="L10" s="277"/>
      <c r="M10" s="278"/>
      <c r="N10" s="391"/>
      <c r="O10" s="545"/>
      <c r="P10" s="279"/>
      <c r="Q10" s="280"/>
      <c r="R10" s="195"/>
      <c r="S10" s="195"/>
      <c r="T10" s="195"/>
      <c r="U10" s="195"/>
      <c r="V10" s="195"/>
      <c r="W10" s="195"/>
      <c r="X10" s="553"/>
      <c r="Y10" s="568"/>
      <c r="Z10" s="569"/>
      <c r="AA10" s="281"/>
      <c r="AB10" s="282">
        <v>217</v>
      </c>
      <c r="AC10" s="282"/>
      <c r="AD10" s="282"/>
      <c r="AE10" s="282"/>
      <c r="AF10" s="282"/>
      <c r="AG10" s="429"/>
      <c r="AH10" s="429"/>
      <c r="AJ10" s="410" t="s">
        <v>995</v>
      </c>
      <c r="AK10" s="410" t="s">
        <v>996</v>
      </c>
    </row>
    <row r="11" spans="1:37" ht="27.75" customHeight="1">
      <c r="A11" s="581">
        <v>39454</v>
      </c>
      <c r="B11" s="582" t="s">
        <v>995</v>
      </c>
      <c r="C11" s="532" t="s">
        <v>948</v>
      </c>
      <c r="D11" s="272" t="s">
        <v>1059</v>
      </c>
      <c r="E11" s="273"/>
      <c r="F11" s="273"/>
      <c r="G11" s="273" t="s">
        <v>1054</v>
      </c>
      <c r="H11" s="427">
        <f t="shared" si="0"/>
        <v>962.03</v>
      </c>
      <c r="I11" s="427">
        <f t="shared" si="1"/>
        <v>0</v>
      </c>
      <c r="J11" s="288">
        <v>962.03</v>
      </c>
      <c r="K11" s="276"/>
      <c r="L11" s="277"/>
      <c r="M11" s="278"/>
      <c r="N11" s="391"/>
      <c r="O11" s="545"/>
      <c r="P11" s="279"/>
      <c r="Q11" s="280"/>
      <c r="R11" s="195"/>
      <c r="S11" s="195"/>
      <c r="T11" s="195">
        <v>962.03</v>
      </c>
      <c r="U11" s="195"/>
      <c r="V11" s="195"/>
      <c r="W11" s="195"/>
      <c r="X11" s="553"/>
      <c r="Y11" s="568"/>
      <c r="Z11" s="569"/>
      <c r="AA11" s="281"/>
      <c r="AB11" s="282"/>
      <c r="AC11" s="282"/>
      <c r="AD11" s="282"/>
      <c r="AE11" s="282"/>
      <c r="AF11" s="282"/>
      <c r="AG11" s="429"/>
      <c r="AH11" s="429"/>
      <c r="AJ11" s="410" t="s">
        <v>997</v>
      </c>
      <c r="AK11" s="410" t="s">
        <v>998</v>
      </c>
    </row>
    <row r="12" spans="1:37" ht="27.75" customHeight="1">
      <c r="A12" s="581">
        <v>39455</v>
      </c>
      <c r="B12" s="583" t="s">
        <v>989</v>
      </c>
      <c r="C12" s="532" t="s">
        <v>1056</v>
      </c>
      <c r="D12" s="272" t="s">
        <v>1053</v>
      </c>
      <c r="E12" s="293"/>
      <c r="F12" s="293"/>
      <c r="G12" s="293" t="s">
        <v>1054</v>
      </c>
      <c r="H12" s="427">
        <f t="shared" si="0"/>
        <v>487.21</v>
      </c>
      <c r="I12" s="427">
        <f t="shared" si="1"/>
        <v>0</v>
      </c>
      <c r="J12" s="288">
        <v>487.21</v>
      </c>
      <c r="K12" s="276"/>
      <c r="L12" s="277"/>
      <c r="M12" s="278"/>
      <c r="N12" s="391"/>
      <c r="O12" s="545"/>
      <c r="P12" s="279"/>
      <c r="Q12" s="280"/>
      <c r="R12" s="195"/>
      <c r="S12" s="195"/>
      <c r="T12" s="195"/>
      <c r="U12" s="195">
        <v>487.21</v>
      </c>
      <c r="V12" s="195"/>
      <c r="W12" s="195"/>
      <c r="X12" s="553"/>
      <c r="Y12" s="568"/>
      <c r="Z12" s="570"/>
      <c r="AA12" s="281"/>
      <c r="AB12" s="282"/>
      <c r="AC12" s="282"/>
      <c r="AD12" s="282"/>
      <c r="AE12" s="282"/>
      <c r="AF12" s="282"/>
      <c r="AG12" s="429"/>
      <c r="AH12" s="429"/>
      <c r="AJ12" s="410" t="s">
        <v>999</v>
      </c>
      <c r="AK12" s="410" t="s">
        <v>1000</v>
      </c>
    </row>
    <row r="13" spans="1:37" ht="27.75" customHeight="1">
      <c r="A13" s="581">
        <v>39456</v>
      </c>
      <c r="B13" s="599" t="s">
        <v>1055</v>
      </c>
      <c r="C13" s="527" t="s">
        <v>1055</v>
      </c>
      <c r="D13" s="272" t="s">
        <v>1053</v>
      </c>
      <c r="E13" s="273"/>
      <c r="F13" s="273"/>
      <c r="G13" s="273" t="s">
        <v>1054</v>
      </c>
      <c r="H13" s="427">
        <f t="shared" si="0"/>
        <v>31.98</v>
      </c>
      <c r="I13" s="427">
        <f t="shared" si="1"/>
        <v>0</v>
      </c>
      <c r="J13" s="275">
        <v>31.98</v>
      </c>
      <c r="K13" s="276"/>
      <c r="L13" s="277"/>
      <c r="M13" s="278"/>
      <c r="N13" s="391"/>
      <c r="O13" s="545"/>
      <c r="P13" s="279"/>
      <c r="Q13" s="280"/>
      <c r="R13" s="195"/>
      <c r="S13" s="195"/>
      <c r="T13" s="195">
        <v>31.98</v>
      </c>
      <c r="U13" s="195"/>
      <c r="V13" s="195"/>
      <c r="W13" s="195"/>
      <c r="X13" s="553"/>
      <c r="Y13" s="568"/>
      <c r="Z13" s="570"/>
      <c r="AA13" s="281"/>
      <c r="AB13" s="282"/>
      <c r="AC13" s="282"/>
      <c r="AD13" s="282"/>
      <c r="AE13" s="282"/>
      <c r="AF13" s="282"/>
      <c r="AG13" s="429"/>
      <c r="AH13" s="429"/>
      <c r="AJ13" s="410" t="s">
        <v>1001</v>
      </c>
      <c r="AK13" s="410" t="s">
        <v>1002</v>
      </c>
    </row>
    <row r="14" spans="1:37" s="529" customFormat="1" ht="27.75" customHeight="1">
      <c r="A14" s="581">
        <v>39460</v>
      </c>
      <c r="B14" s="583" t="s">
        <v>949</v>
      </c>
      <c r="C14" s="532" t="s">
        <v>950</v>
      </c>
      <c r="D14" s="287" t="s">
        <v>951</v>
      </c>
      <c r="E14" s="293" t="s">
        <v>1054</v>
      </c>
      <c r="F14" s="293"/>
      <c r="G14" s="293"/>
      <c r="H14" s="427">
        <f t="shared" si="0"/>
        <v>34.48</v>
      </c>
      <c r="I14" s="427">
        <f t="shared" si="1"/>
        <v>0</v>
      </c>
      <c r="J14" s="288">
        <v>34.48</v>
      </c>
      <c r="K14" s="276"/>
      <c r="L14" s="277"/>
      <c r="M14" s="278"/>
      <c r="N14" s="391"/>
      <c r="O14" s="545"/>
      <c r="P14" s="279"/>
      <c r="Q14" s="280"/>
      <c r="R14" s="195">
        <v>21.49</v>
      </c>
      <c r="S14" s="797"/>
      <c r="T14" s="195"/>
      <c r="U14" s="195"/>
      <c r="V14" s="195"/>
      <c r="W14" s="195"/>
      <c r="X14" s="553">
        <v>12.99</v>
      </c>
      <c r="Y14" s="575"/>
      <c r="Z14" s="576"/>
      <c r="AA14" s="281"/>
      <c r="AB14" s="282"/>
      <c r="AC14" s="282"/>
      <c r="AD14" s="282"/>
      <c r="AE14" s="282"/>
      <c r="AF14" s="282"/>
      <c r="AG14" s="528"/>
      <c r="AH14" s="528"/>
      <c r="AJ14" s="530"/>
      <c r="AK14" s="530" t="s">
        <v>1003</v>
      </c>
    </row>
    <row r="15" spans="1:37" ht="27.75" customHeight="1">
      <c r="A15" s="581">
        <v>39474</v>
      </c>
      <c r="B15" s="599" t="s">
        <v>952</v>
      </c>
      <c r="C15" s="527" t="s">
        <v>953</v>
      </c>
      <c r="D15" s="272" t="s">
        <v>954</v>
      </c>
      <c r="E15" s="273" t="s">
        <v>1054</v>
      </c>
      <c r="F15" s="273"/>
      <c r="G15" s="273"/>
      <c r="H15" s="427">
        <f t="shared" si="0"/>
        <v>132.75</v>
      </c>
      <c r="I15" s="427">
        <f t="shared" si="1"/>
        <v>0</v>
      </c>
      <c r="J15" s="288">
        <v>132.75</v>
      </c>
      <c r="K15" s="276"/>
      <c r="L15" s="277"/>
      <c r="M15" s="278"/>
      <c r="N15" s="391"/>
      <c r="O15" s="545"/>
      <c r="P15" s="279"/>
      <c r="Q15" s="280"/>
      <c r="R15" s="195"/>
      <c r="S15" s="195"/>
      <c r="T15" s="195"/>
      <c r="U15" s="195"/>
      <c r="V15" s="195"/>
      <c r="W15" s="195"/>
      <c r="X15" s="553">
        <v>132.75</v>
      </c>
      <c r="Y15" s="568"/>
      <c r="Z15" s="570"/>
      <c r="AA15" s="281"/>
      <c r="AB15" s="282"/>
      <c r="AC15" s="282"/>
      <c r="AD15" s="282"/>
      <c r="AE15" s="282"/>
      <c r="AF15" s="282"/>
      <c r="AG15" s="429"/>
      <c r="AH15" s="429"/>
      <c r="AJ15" s="410"/>
      <c r="AK15" s="410"/>
    </row>
    <row r="16" spans="1:36" s="425" customFormat="1" ht="27.75" customHeight="1">
      <c r="A16" s="581">
        <v>39474</v>
      </c>
      <c r="B16" s="583"/>
      <c r="C16" s="532" t="s">
        <v>955</v>
      </c>
      <c r="D16" s="272"/>
      <c r="E16" s="273"/>
      <c r="F16" s="273" t="s">
        <v>1054</v>
      </c>
      <c r="G16" s="273"/>
      <c r="H16" s="427">
        <f t="shared" si="0"/>
        <v>0</v>
      </c>
      <c r="I16" s="427">
        <f t="shared" si="1"/>
        <v>28.6</v>
      </c>
      <c r="J16" s="275"/>
      <c r="K16" s="276">
        <v>28.6</v>
      </c>
      <c r="L16" s="277"/>
      <c r="M16" s="278"/>
      <c r="N16" s="391"/>
      <c r="O16" s="545"/>
      <c r="P16" s="279"/>
      <c r="Q16" s="280"/>
      <c r="R16" s="195"/>
      <c r="S16" s="195"/>
      <c r="T16" s="195"/>
      <c r="U16" s="195"/>
      <c r="V16" s="195"/>
      <c r="W16" s="195"/>
      <c r="X16" s="553"/>
      <c r="Y16" s="568"/>
      <c r="Z16" s="570"/>
      <c r="AA16" s="281"/>
      <c r="AB16" s="282"/>
      <c r="AC16" s="282"/>
      <c r="AD16" s="282"/>
      <c r="AE16" s="282"/>
      <c r="AF16" s="282">
        <v>28.6</v>
      </c>
      <c r="AG16" s="531"/>
      <c r="AH16" s="531"/>
      <c r="AJ16" s="410"/>
    </row>
    <row r="17" spans="1:36" s="425" customFormat="1" ht="27.75" customHeight="1">
      <c r="A17" s="581">
        <v>39448</v>
      </c>
      <c r="B17" s="583" t="s">
        <v>1051</v>
      </c>
      <c r="C17" s="532" t="s">
        <v>956</v>
      </c>
      <c r="D17" s="287"/>
      <c r="E17" s="293"/>
      <c r="F17" s="293"/>
      <c r="G17" s="273"/>
      <c r="H17" s="427">
        <f t="shared" si="0"/>
        <v>0</v>
      </c>
      <c r="I17" s="427">
        <f t="shared" si="1"/>
        <v>357.32</v>
      </c>
      <c r="J17" s="288"/>
      <c r="K17" s="276"/>
      <c r="L17" s="277"/>
      <c r="M17" s="278">
        <v>357.32</v>
      </c>
      <c r="N17" s="391"/>
      <c r="O17" s="545"/>
      <c r="P17" s="279"/>
      <c r="Q17" s="280"/>
      <c r="R17" s="195"/>
      <c r="S17" s="195"/>
      <c r="T17" s="195"/>
      <c r="U17" s="195"/>
      <c r="V17" s="195"/>
      <c r="W17" s="195"/>
      <c r="X17" s="553"/>
      <c r="Y17" s="568"/>
      <c r="Z17" s="577"/>
      <c r="AA17" s="281"/>
      <c r="AB17" s="282"/>
      <c r="AC17" s="282"/>
      <c r="AD17" s="282"/>
      <c r="AE17" s="282">
        <v>357.32</v>
      </c>
      <c r="AF17" s="282"/>
      <c r="AG17" s="531"/>
      <c r="AH17" s="531"/>
      <c r="AJ17" s="410"/>
    </row>
    <row r="18" spans="1:36" s="425" customFormat="1" ht="27.75" customHeight="1" thickBot="1">
      <c r="A18" s="581">
        <v>39448</v>
      </c>
      <c r="B18" s="583" t="s">
        <v>1051</v>
      </c>
      <c r="C18" s="532" t="s">
        <v>956</v>
      </c>
      <c r="D18" s="272"/>
      <c r="E18" s="293"/>
      <c r="F18" s="293"/>
      <c r="G18" s="293"/>
      <c r="H18" s="427">
        <f t="shared" si="0"/>
        <v>0</v>
      </c>
      <c r="I18" s="427">
        <f t="shared" si="1"/>
        <v>880.22</v>
      </c>
      <c r="J18" s="275"/>
      <c r="K18" s="276"/>
      <c r="L18" s="277"/>
      <c r="M18" s="278"/>
      <c r="N18" s="391"/>
      <c r="O18" s="545">
        <v>880.22</v>
      </c>
      <c r="P18" s="279"/>
      <c r="Q18" s="280"/>
      <c r="R18" s="195"/>
      <c r="S18" s="195"/>
      <c r="T18" s="195"/>
      <c r="U18" s="195"/>
      <c r="V18" s="195"/>
      <c r="W18" s="195"/>
      <c r="X18" s="553"/>
      <c r="Y18" s="568"/>
      <c r="Z18" s="570"/>
      <c r="AA18" s="281"/>
      <c r="AB18" s="282"/>
      <c r="AC18" s="282"/>
      <c r="AD18" s="282"/>
      <c r="AE18" s="282">
        <v>880.22</v>
      </c>
      <c r="AF18" s="282"/>
      <c r="AG18" s="531"/>
      <c r="AH18" s="531"/>
      <c r="AJ18" s="410"/>
    </row>
    <row r="19" spans="1:32" ht="27.75" customHeight="1" thickBot="1">
      <c r="A19" s="433"/>
      <c r="B19" s="434"/>
      <c r="C19" s="435" t="s">
        <v>957</v>
      </c>
      <c r="D19" s="436"/>
      <c r="E19" s="437"/>
      <c r="F19" s="437"/>
      <c r="G19" s="437"/>
      <c r="H19" s="438">
        <f aca="true" t="shared" si="2" ref="H19:AF19">SUM(H8:H18)</f>
        <v>1663.75</v>
      </c>
      <c r="I19" s="439">
        <f t="shared" si="2"/>
        <v>2893.5299999999997</v>
      </c>
      <c r="J19" s="440">
        <f t="shared" si="2"/>
        <v>1663.75</v>
      </c>
      <c r="K19" s="440">
        <f t="shared" si="2"/>
        <v>1655.99</v>
      </c>
      <c r="L19" s="440">
        <f t="shared" si="2"/>
        <v>0</v>
      </c>
      <c r="M19" s="440">
        <f t="shared" si="2"/>
        <v>357.32</v>
      </c>
      <c r="N19" s="440">
        <f t="shared" si="2"/>
        <v>0</v>
      </c>
      <c r="O19" s="440">
        <f t="shared" si="2"/>
        <v>880.22</v>
      </c>
      <c r="P19" s="440">
        <f t="shared" si="2"/>
        <v>0</v>
      </c>
      <c r="Q19" s="440">
        <f t="shared" si="2"/>
        <v>0</v>
      </c>
      <c r="R19" s="440">
        <f t="shared" si="2"/>
        <v>21.49</v>
      </c>
      <c r="S19" s="440">
        <f t="shared" si="2"/>
        <v>15.3</v>
      </c>
      <c r="T19" s="440">
        <f t="shared" si="2"/>
        <v>994.01</v>
      </c>
      <c r="U19" s="440">
        <f t="shared" si="2"/>
        <v>487.21</v>
      </c>
      <c r="V19" s="440">
        <f t="shared" si="2"/>
        <v>0</v>
      </c>
      <c r="W19" s="440">
        <f t="shared" si="2"/>
        <v>0</v>
      </c>
      <c r="X19" s="440">
        <f t="shared" si="2"/>
        <v>145.74</v>
      </c>
      <c r="Y19" s="440">
        <f t="shared" si="2"/>
        <v>0</v>
      </c>
      <c r="Z19" s="440">
        <f t="shared" si="2"/>
        <v>0</v>
      </c>
      <c r="AA19" s="440">
        <f t="shared" si="2"/>
        <v>0</v>
      </c>
      <c r="AB19" s="440">
        <f t="shared" si="2"/>
        <v>1627.39</v>
      </c>
      <c r="AC19" s="440">
        <f t="shared" si="2"/>
        <v>0</v>
      </c>
      <c r="AD19" s="440">
        <f t="shared" si="2"/>
        <v>0</v>
      </c>
      <c r="AE19" s="440">
        <f t="shared" si="2"/>
        <v>1237.54</v>
      </c>
      <c r="AF19" s="440">
        <f t="shared" si="2"/>
        <v>28.6</v>
      </c>
    </row>
    <row r="20" spans="2:32" ht="27.75" customHeight="1">
      <c r="B20" s="441"/>
      <c r="C20" s="441"/>
      <c r="D20" s="442"/>
      <c r="E20" s="422"/>
      <c r="F20" s="422"/>
      <c r="G20" s="422"/>
      <c r="H20" s="443"/>
      <c r="I20" s="443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</row>
    <row r="21" spans="2:32" s="445" customFormat="1" ht="27.75" customHeight="1" thickBot="1">
      <c r="B21" s="446"/>
      <c r="C21" s="446"/>
      <c r="D21" s="407"/>
      <c r="E21" s="397"/>
      <c r="F21" s="397"/>
      <c r="G21" s="447" t="s">
        <v>1066</v>
      </c>
      <c r="H21" s="448">
        <f>(J19+L19+N19+P19)-Y19</f>
        <v>1663.75</v>
      </c>
      <c r="J21" s="449"/>
      <c r="K21" s="400"/>
      <c r="N21" s="449"/>
      <c r="O21" s="449" t="s">
        <v>1067</v>
      </c>
      <c r="P21" s="450">
        <f>(K19+M19+O19+Q19)-Z19</f>
        <v>2893.5299999999997</v>
      </c>
      <c r="Q21" s="451"/>
      <c r="T21" s="449" t="s">
        <v>1068</v>
      </c>
      <c r="U21" s="549">
        <f>(R19+S19+T19+U19+V19+W19+X19)</f>
        <v>1663.75</v>
      </c>
      <c r="V21" s="453"/>
      <c r="W21" s="453"/>
      <c r="X21" s="453"/>
      <c r="Y21" s="454"/>
      <c r="AA21" s="455"/>
      <c r="AC21" s="447" t="s">
        <v>885</v>
      </c>
      <c r="AD21" s="550">
        <f>(AA19+AB19+AC19+AD19+AE19+AF19)</f>
        <v>2893.53</v>
      </c>
      <c r="AE21" s="453"/>
      <c r="AF21" s="453"/>
    </row>
    <row r="22" spans="2:32" s="457" customFormat="1" ht="27.75" customHeight="1" thickBot="1">
      <c r="B22" s="458"/>
      <c r="C22" s="459" t="s">
        <v>958</v>
      </c>
      <c r="D22" s="460"/>
      <c r="E22" s="397"/>
      <c r="F22" s="397"/>
      <c r="G22" s="461"/>
      <c r="H22" s="462">
        <f aca="true" t="shared" si="3" ref="H22:AF22">SUM(H3+H19)</f>
        <v>17303.269999999997</v>
      </c>
      <c r="I22" s="463">
        <f t="shared" si="3"/>
        <v>21685.04</v>
      </c>
      <c r="J22" s="464">
        <f t="shared" si="3"/>
        <v>17303.269999999997</v>
      </c>
      <c r="K22" s="464">
        <f t="shared" si="3"/>
        <v>23527.77</v>
      </c>
      <c r="L22" s="464">
        <f t="shared" si="3"/>
        <v>0</v>
      </c>
      <c r="M22" s="464">
        <f t="shared" si="3"/>
        <v>63232.73</v>
      </c>
      <c r="N22" s="464">
        <f t="shared" si="3"/>
        <v>0</v>
      </c>
      <c r="O22" s="464">
        <f t="shared" si="3"/>
        <v>77741.76</v>
      </c>
      <c r="P22" s="464">
        <f t="shared" si="3"/>
        <v>0</v>
      </c>
      <c r="Q22" s="464">
        <f t="shared" si="3"/>
        <v>115.16</v>
      </c>
      <c r="R22" s="464">
        <f t="shared" si="3"/>
        <v>128.17000000000002</v>
      </c>
      <c r="S22" s="464">
        <f t="shared" si="3"/>
        <v>45.900000000000006</v>
      </c>
      <c r="T22" s="464">
        <f t="shared" si="3"/>
        <v>1493.6399999999999</v>
      </c>
      <c r="U22" s="464">
        <f t="shared" si="3"/>
        <v>1461.48</v>
      </c>
      <c r="V22" s="464">
        <f t="shared" si="3"/>
        <v>2013.34</v>
      </c>
      <c r="W22" s="464">
        <f t="shared" si="3"/>
        <v>0</v>
      </c>
      <c r="X22" s="464">
        <f t="shared" si="3"/>
        <v>160.74</v>
      </c>
      <c r="Y22" s="464">
        <f t="shared" si="3"/>
        <v>12000</v>
      </c>
      <c r="Z22" s="464">
        <f t="shared" si="3"/>
        <v>12000</v>
      </c>
      <c r="AA22" s="464">
        <f t="shared" si="3"/>
        <v>0</v>
      </c>
      <c r="AB22" s="464">
        <f t="shared" si="3"/>
        <v>8418.9</v>
      </c>
      <c r="AC22" s="464">
        <f t="shared" si="3"/>
        <v>0</v>
      </c>
      <c r="AD22" s="464">
        <f t="shared" si="3"/>
        <v>0</v>
      </c>
      <c r="AE22" s="464">
        <f t="shared" si="3"/>
        <v>1237.54</v>
      </c>
      <c r="AF22" s="464">
        <f t="shared" si="3"/>
        <v>28.6</v>
      </c>
    </row>
    <row r="23" spans="2:32" s="457" customFormat="1" ht="27.75" customHeight="1" thickBot="1">
      <c r="B23" s="458"/>
      <c r="C23" s="458"/>
      <c r="D23" s="460"/>
      <c r="E23" s="397"/>
      <c r="F23" s="397"/>
      <c r="G23" s="461"/>
      <c r="H23" s="465"/>
      <c r="I23" s="466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</row>
    <row r="24" spans="2:32" s="445" customFormat="1" ht="27.75" customHeight="1" thickBot="1">
      <c r="B24" s="458"/>
      <c r="C24" s="468"/>
      <c r="D24" s="407"/>
      <c r="E24" s="397"/>
      <c r="F24" s="397"/>
      <c r="G24" s="447" t="s">
        <v>887</v>
      </c>
      <c r="H24" s="469">
        <f>(J22+L22+P22)-Y22</f>
        <v>5303.269999999997</v>
      </c>
      <c r="J24" s="449"/>
      <c r="K24" s="400"/>
      <c r="M24" s="449" t="s">
        <v>938</v>
      </c>
      <c r="N24" s="449"/>
      <c r="O24" s="449"/>
      <c r="P24" s="450">
        <f>(K22+M22+O22+Q22)-Y22</f>
        <v>152617.42</v>
      </c>
      <c r="Q24" s="451"/>
      <c r="R24" s="449" t="s">
        <v>887</v>
      </c>
      <c r="S24" s="452">
        <f>(R22+S22+T22+U22+V22+W22+X22)</f>
        <v>5303.2699999999995</v>
      </c>
      <c r="T24" s="453"/>
      <c r="U24" s="453"/>
      <c r="V24" s="453"/>
      <c r="W24" s="453"/>
      <c r="X24" s="453"/>
      <c r="Y24" s="470"/>
      <c r="AA24" s="455"/>
      <c r="AB24" s="447" t="s">
        <v>1069</v>
      </c>
      <c r="AC24" s="456">
        <f>(AA22+AB22+AC22+AD22+AE22+AF22)</f>
        <v>9685.039999999999</v>
      </c>
      <c r="AD24" s="453"/>
      <c r="AE24" s="453"/>
      <c r="AF24" s="453"/>
    </row>
    <row r="25" spans="2:28" ht="27.75" customHeight="1" thickBot="1">
      <c r="B25" s="458"/>
      <c r="C25" s="471" t="s">
        <v>939</v>
      </c>
      <c r="D25" s="472" t="s">
        <v>1071</v>
      </c>
      <c r="E25" s="473"/>
      <c r="F25" s="473"/>
      <c r="G25" s="473"/>
      <c r="H25" s="474">
        <f>'Déc 14'!H29</f>
        <v>6232.260000000002</v>
      </c>
      <c r="I25" s="475"/>
      <c r="J25" s="476" t="s">
        <v>1072</v>
      </c>
      <c r="K25" s="474">
        <f>'Déc 14'!K29</f>
        <v>62875.41</v>
      </c>
      <c r="L25" s="477"/>
      <c r="M25" s="345" t="s">
        <v>1073</v>
      </c>
      <c r="N25" s="543">
        <f>'Déc 14'!N29</f>
        <v>76861.54</v>
      </c>
      <c r="O25" s="477"/>
      <c r="P25" s="478" t="s">
        <v>981</v>
      </c>
      <c r="Q25" s="474">
        <f>'Déc 14'!Q29</f>
        <v>115.16</v>
      </c>
      <c r="AB25" s="479"/>
    </row>
    <row r="26" spans="2:28" s="480" customFormat="1" ht="27.75" customHeight="1" thickBot="1">
      <c r="B26" s="425"/>
      <c r="C26" s="481" t="s">
        <v>894</v>
      </c>
      <c r="D26" s="482"/>
      <c r="E26" s="397"/>
      <c r="F26" s="397"/>
      <c r="G26" s="397"/>
      <c r="H26" s="483"/>
      <c r="I26" s="484"/>
      <c r="J26" s="483"/>
      <c r="K26" s="483"/>
      <c r="L26" s="484"/>
      <c r="M26" s="484"/>
      <c r="N26" s="484"/>
      <c r="O26" s="484"/>
      <c r="P26" s="483"/>
      <c r="Q26" s="400"/>
      <c r="R26" s="485"/>
      <c r="S26" s="476" t="s">
        <v>1074</v>
      </c>
      <c r="T26" s="486"/>
      <c r="U26" s="487"/>
      <c r="V26" s="487"/>
      <c r="W26" s="487"/>
      <c r="X26" s="476" t="s">
        <v>1075</v>
      </c>
      <c r="Y26" s="488"/>
      <c r="Z26" s="486"/>
      <c r="AB26" s="405"/>
    </row>
    <row r="27" spans="2:28" ht="27.75" customHeight="1" thickBot="1" thickTop="1">
      <c r="B27" s="489"/>
      <c r="C27" s="490" t="s">
        <v>959</v>
      </c>
      <c r="D27" s="491" t="s">
        <v>1071</v>
      </c>
      <c r="E27" s="492"/>
      <c r="F27" s="492"/>
      <c r="G27" s="492"/>
      <c r="H27" s="493">
        <f>SUM(H25+K19)-(J19)</f>
        <v>6224.500000000002</v>
      </c>
      <c r="I27" s="494"/>
      <c r="J27" s="495" t="s">
        <v>1072</v>
      </c>
      <c r="K27" s="493">
        <f>K25+M19-L19</f>
        <v>63232.73</v>
      </c>
      <c r="M27" s="345" t="s">
        <v>1073</v>
      </c>
      <c r="N27" s="544">
        <f>N25+O19-N19</f>
        <v>77741.76</v>
      </c>
      <c r="P27" s="495" t="s">
        <v>981</v>
      </c>
      <c r="Q27" s="493">
        <f>SUM(Q25+Q19)-(P19)</f>
        <v>115.16</v>
      </c>
      <c r="R27" s="496"/>
      <c r="S27" s="495" t="s">
        <v>1077</v>
      </c>
      <c r="T27" s="497"/>
      <c r="X27" s="495" t="s">
        <v>898</v>
      </c>
      <c r="Y27" s="498"/>
      <c r="Z27" s="497"/>
      <c r="AB27" s="499"/>
    </row>
    <row r="28" spans="2:28" ht="18.75" customHeight="1" thickTop="1">
      <c r="B28" s="489"/>
      <c r="C28" s="489"/>
      <c r="D28" s="538"/>
      <c r="E28" s="422"/>
      <c r="F28" s="422"/>
      <c r="G28" s="422"/>
      <c r="H28" s="541"/>
      <c r="I28" s="494"/>
      <c r="J28" s="496"/>
      <c r="K28" s="541"/>
      <c r="P28" s="496"/>
      <c r="Q28" s="539"/>
      <c r="R28" s="496"/>
      <c r="S28" s="496"/>
      <c r="T28" s="540"/>
      <c r="X28" s="496"/>
      <c r="Y28" s="498"/>
      <c r="Z28" s="540"/>
      <c r="AB28" s="499"/>
    </row>
    <row r="29" spans="2:28" s="457" customFormat="1" ht="12">
      <c r="B29" s="446" t="s">
        <v>899</v>
      </c>
      <c r="C29" s="500"/>
      <c r="D29" s="501" t="s">
        <v>900</v>
      </c>
      <c r="E29" s="502"/>
      <c r="F29" s="502"/>
      <c r="G29" s="502"/>
      <c r="H29" s="503"/>
      <c r="I29" s="501" t="s">
        <v>901</v>
      </c>
      <c r="J29" s="503"/>
      <c r="K29" s="503"/>
      <c r="L29" s="501" t="s">
        <v>902</v>
      </c>
      <c r="M29" s="501"/>
      <c r="N29" s="501"/>
      <c r="O29" s="501"/>
      <c r="P29" s="503"/>
      <c r="Q29" s="503"/>
      <c r="R29" s="501" t="s">
        <v>903</v>
      </c>
      <c r="S29" s="400"/>
      <c r="T29" s="501" t="s">
        <v>900</v>
      </c>
      <c r="U29" s="400"/>
      <c r="V29" s="400"/>
      <c r="W29" s="400"/>
      <c r="X29" s="501" t="s">
        <v>901</v>
      </c>
      <c r="Y29" s="504"/>
      <c r="Z29" s="503"/>
      <c r="AB29" s="505"/>
    </row>
    <row r="30" spans="2:28" s="457" customFormat="1" ht="12">
      <c r="B30" s="446"/>
      <c r="C30" s="500"/>
      <c r="D30" s="501"/>
      <c r="E30" s="502"/>
      <c r="F30" s="502"/>
      <c r="G30" s="502"/>
      <c r="H30" s="503"/>
      <c r="I30" s="501"/>
      <c r="J30" s="503"/>
      <c r="K30" s="503"/>
      <c r="L30" s="501"/>
      <c r="M30" s="501"/>
      <c r="N30" s="501"/>
      <c r="O30" s="501"/>
      <c r="P30" s="503"/>
      <c r="Q30" s="503"/>
      <c r="R30" s="501"/>
      <c r="S30" s="400"/>
      <c r="T30" s="501"/>
      <c r="U30" s="400"/>
      <c r="V30" s="400"/>
      <c r="W30" s="400"/>
      <c r="X30" s="501"/>
      <c r="Y30" s="504"/>
      <c r="Z30" s="503"/>
      <c r="AB30" s="505"/>
    </row>
    <row r="31" spans="2:28" s="506" customFormat="1" ht="12">
      <c r="B31" s="533" t="s">
        <v>904</v>
      </c>
      <c r="C31" s="507"/>
      <c r="D31" s="506" t="s">
        <v>905</v>
      </c>
      <c r="E31" s="508"/>
      <c r="F31" s="508"/>
      <c r="H31" s="509"/>
      <c r="I31" s="510"/>
      <c r="J31" s="511"/>
      <c r="K31" s="511"/>
      <c r="L31" s="510"/>
      <c r="M31" s="510"/>
      <c r="N31" s="510"/>
      <c r="O31" s="510"/>
      <c r="P31" s="511"/>
      <c r="Q31" s="511"/>
      <c r="R31" s="510" t="s">
        <v>904</v>
      </c>
      <c r="S31" s="400"/>
      <c r="T31" s="506" t="s">
        <v>905</v>
      </c>
      <c r="U31" s="400"/>
      <c r="V31" s="400"/>
      <c r="W31" s="400"/>
      <c r="X31" s="510"/>
      <c r="Y31" s="512"/>
      <c r="Z31" s="509"/>
      <c r="AB31" s="513"/>
    </row>
    <row r="32" spans="2:28" s="506" customFormat="1" ht="43.5" customHeight="1">
      <c r="B32" s="533"/>
      <c r="C32" s="507"/>
      <c r="E32" s="508"/>
      <c r="F32" s="508"/>
      <c r="H32" s="509"/>
      <c r="I32" s="510"/>
      <c r="J32" s="511"/>
      <c r="K32" s="511"/>
      <c r="L32" s="510"/>
      <c r="M32" s="510"/>
      <c r="N32" s="510"/>
      <c r="O32" s="510"/>
      <c r="P32" s="511"/>
      <c r="Q32" s="511"/>
      <c r="R32" s="510"/>
      <c r="S32" s="400"/>
      <c r="U32" s="400"/>
      <c r="V32" s="400"/>
      <c r="W32" s="400"/>
      <c r="X32" s="510"/>
      <c r="Y32" s="512"/>
      <c r="Z32" s="509"/>
      <c r="AB32" s="513"/>
    </row>
    <row r="33" spans="3:28" ht="18.75" customHeight="1">
      <c r="C33" s="514" t="s">
        <v>906</v>
      </c>
      <c r="D33" s="515"/>
      <c r="E33" s="516"/>
      <c r="F33" s="516"/>
      <c r="G33" s="517"/>
      <c r="H33" s="518">
        <f>H27+K27+N27+Q27</f>
        <v>147314.15</v>
      </c>
      <c r="AB33" s="519"/>
    </row>
    <row r="34" ht="12">
      <c r="J34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33"/>
  <sheetViews>
    <sheetView zoomScale="125" zoomScaleNormal="125" zoomScalePageLayoutView="0" workbookViewId="0" topLeftCell="A1">
      <selection activeCell="A11" sqref="A11"/>
    </sheetView>
  </sheetViews>
  <sheetFormatPr defaultColWidth="11.7109375" defaultRowHeight="12.75"/>
  <cols>
    <col min="1" max="1" width="6.7109375" style="407" customWidth="1"/>
    <col min="2" max="2" width="15.140625" style="398" customWidth="1"/>
    <col min="3" max="3" width="3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7" width="12.7109375" style="400" customWidth="1"/>
    <col min="18" max="18" width="10.7109375" style="400" customWidth="1"/>
    <col min="19" max="19" width="12.421875" style="400" customWidth="1"/>
    <col min="20" max="24" width="10.7109375" style="400" customWidth="1"/>
    <col min="25" max="25" width="10.7109375" style="409" customWidth="1"/>
    <col min="26" max="26" width="10.7109375" style="400" customWidth="1"/>
    <col min="27" max="27" width="10.7109375" style="407" customWidth="1"/>
    <col min="28" max="28" width="12.140625" style="522" customWidth="1"/>
    <col min="29" max="29" width="12.28125" style="407" customWidth="1"/>
    <col min="30" max="32" width="10.7109375" style="407" customWidth="1"/>
    <col min="33" max="16384" width="11.7109375" style="407" customWidth="1"/>
  </cols>
  <sheetData>
    <row r="1" spans="2:36" s="397" customFormat="1" ht="16.5" customHeight="1">
      <c r="B1" s="398"/>
      <c r="C1" s="55" t="s">
        <v>942</v>
      </c>
      <c r="D1" s="399"/>
      <c r="H1" s="400" t="s">
        <v>1016</v>
      </c>
      <c r="I1" s="401"/>
      <c r="J1" s="402" t="s">
        <v>960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961</v>
      </c>
      <c r="AB1" s="405"/>
      <c r="AI1" s="406" t="s">
        <v>969</v>
      </c>
      <c r="AJ1" s="406" t="s">
        <v>970</v>
      </c>
    </row>
    <row r="2" spans="2:36" ht="12" customHeight="1" thickBot="1">
      <c r="B2" s="407"/>
      <c r="C2" s="408"/>
      <c r="D2" s="407"/>
      <c r="H2" s="400"/>
      <c r="I2" s="400"/>
      <c r="AB2" s="405"/>
      <c r="AI2" s="410" t="s">
        <v>971</v>
      </c>
      <c r="AJ2" s="411" t="s">
        <v>972</v>
      </c>
    </row>
    <row r="3" spans="3:36" s="412" customFormat="1" ht="18.75" customHeight="1" thickBot="1">
      <c r="C3" s="413"/>
      <c r="D3" s="414"/>
      <c r="E3" s="832" t="s">
        <v>1018</v>
      </c>
      <c r="F3" s="833"/>
      <c r="G3" s="834"/>
      <c r="H3" s="415">
        <f>Jan15!H22</f>
        <v>17303.269999999997</v>
      </c>
      <c r="I3" s="415">
        <f>Jan15!I22</f>
        <v>21685.04</v>
      </c>
      <c r="J3" s="415">
        <f>Jan15!J22</f>
        <v>17303.269999999997</v>
      </c>
      <c r="K3" s="415">
        <f>Jan15!K22</f>
        <v>23527.77</v>
      </c>
      <c r="L3" s="415">
        <f>Jan15!L22</f>
        <v>0</v>
      </c>
      <c r="M3" s="415">
        <f>Jan15!M22</f>
        <v>63232.73</v>
      </c>
      <c r="N3" s="415">
        <f>Jan15!N22</f>
        <v>0</v>
      </c>
      <c r="O3" s="415">
        <f>Jan15!O22</f>
        <v>77741.76</v>
      </c>
      <c r="P3" s="415">
        <f>Jan15!P22</f>
        <v>0</v>
      </c>
      <c r="Q3" s="415">
        <f>Jan15!Q22</f>
        <v>115.16</v>
      </c>
      <c r="R3" s="415">
        <f>Jan15!R22</f>
        <v>128.17000000000002</v>
      </c>
      <c r="S3" s="415">
        <f>Jan15!S22</f>
        <v>45.900000000000006</v>
      </c>
      <c r="T3" s="415">
        <f>Jan15!T22</f>
        <v>1493.6399999999999</v>
      </c>
      <c r="U3" s="415">
        <f>Jan15!U22</f>
        <v>1461.48</v>
      </c>
      <c r="V3" s="415">
        <f>Jan15!V22</f>
        <v>2013.34</v>
      </c>
      <c r="W3" s="415">
        <f>Jan15!W22</f>
        <v>0</v>
      </c>
      <c r="X3" s="415">
        <f>Jan15!X22</f>
        <v>160.74</v>
      </c>
      <c r="Y3" s="415">
        <f>Jan15!Y22</f>
        <v>12000</v>
      </c>
      <c r="Z3" s="415">
        <f>Jan15!Z22</f>
        <v>12000</v>
      </c>
      <c r="AA3" s="415">
        <f>Jan15!AA22</f>
        <v>0</v>
      </c>
      <c r="AB3" s="415">
        <f>Jan15!AB22</f>
        <v>8418.9</v>
      </c>
      <c r="AC3" s="415">
        <f>Jan15!AC22</f>
        <v>0</v>
      </c>
      <c r="AD3" s="415">
        <f>Jan15!AD22</f>
        <v>0</v>
      </c>
      <c r="AE3" s="415">
        <f>Jan15!AE22</f>
        <v>1237.54</v>
      </c>
      <c r="AF3" s="415">
        <f>Jan15!AF22</f>
        <v>28.6</v>
      </c>
      <c r="AI3" s="410" t="s">
        <v>973</v>
      </c>
      <c r="AJ3" s="410" t="s">
        <v>974</v>
      </c>
    </row>
    <row r="4" spans="2:36" s="412" customFormat="1" ht="14.25" customHeight="1" thickBot="1"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70">
        <v>58</v>
      </c>
      <c r="Z4" s="871"/>
      <c r="AA4" s="857" t="s">
        <v>1021</v>
      </c>
      <c r="AB4" s="838"/>
      <c r="AC4" s="838"/>
      <c r="AD4" s="838"/>
      <c r="AE4" s="838"/>
      <c r="AF4" s="839"/>
      <c r="AI4" s="410" t="s">
        <v>979</v>
      </c>
      <c r="AJ4" s="410" t="s">
        <v>980</v>
      </c>
    </row>
    <row r="5" spans="2:36" s="419" customFormat="1" ht="12.75" customHeight="1"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I5" s="410" t="s">
        <v>981</v>
      </c>
      <c r="AJ5" s="410" t="s">
        <v>982</v>
      </c>
    </row>
    <row r="6" spans="2:36" ht="13.5" customHeight="1" thickBot="1">
      <c r="B6" s="425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I6" s="410" t="s">
        <v>987</v>
      </c>
      <c r="AJ6" s="410" t="s">
        <v>988</v>
      </c>
    </row>
    <row r="7" spans="1:232" s="62" customFormat="1" ht="22.5" customHeight="1">
      <c r="A7" s="184" t="s">
        <v>1028</v>
      </c>
      <c r="B7" s="182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6" t="s">
        <v>1033</v>
      </c>
      <c r="H7" s="59" t="s">
        <v>1034</v>
      </c>
      <c r="I7" s="60" t="s">
        <v>1035</v>
      </c>
      <c r="J7" s="61" t="s">
        <v>1036</v>
      </c>
      <c r="K7" s="62" t="s">
        <v>1037</v>
      </c>
      <c r="L7" s="61" t="s">
        <v>1036</v>
      </c>
      <c r="M7" s="62" t="s">
        <v>1037</v>
      </c>
      <c r="N7" s="61" t="s">
        <v>1036</v>
      </c>
      <c r="O7" s="62" t="s">
        <v>1037</v>
      </c>
      <c r="P7" s="61" t="s">
        <v>1036</v>
      </c>
      <c r="Q7" s="62" t="s">
        <v>1037</v>
      </c>
      <c r="R7" s="58" t="s">
        <v>1038</v>
      </c>
      <c r="S7" s="58" t="s">
        <v>1039</v>
      </c>
      <c r="T7" s="58" t="s">
        <v>1040</v>
      </c>
      <c r="U7" s="58" t="s">
        <v>1041</v>
      </c>
      <c r="V7" s="58" t="s">
        <v>1042</v>
      </c>
      <c r="W7" s="58" t="s">
        <v>913</v>
      </c>
      <c r="X7" s="564" t="s">
        <v>1044</v>
      </c>
      <c r="Y7" s="573" t="s">
        <v>1026</v>
      </c>
      <c r="Z7" s="574" t="s">
        <v>1026</v>
      </c>
      <c r="AA7" s="65" t="s">
        <v>914</v>
      </c>
      <c r="AB7" s="58" t="s">
        <v>915</v>
      </c>
      <c r="AC7" s="58" t="s">
        <v>1047</v>
      </c>
      <c r="AD7" s="58" t="s">
        <v>916</v>
      </c>
      <c r="AE7" s="58" t="s">
        <v>946</v>
      </c>
      <c r="AF7" s="58" t="s">
        <v>918</v>
      </c>
      <c r="AG7" s="66"/>
      <c r="AH7" s="66"/>
      <c r="AI7" s="410" t="s">
        <v>989</v>
      </c>
      <c r="AJ7" s="410" t="s">
        <v>990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6" ht="18.75" customHeight="1">
      <c r="A8" s="270">
        <v>39480</v>
      </c>
      <c r="B8" s="289" t="s">
        <v>962</v>
      </c>
      <c r="C8" s="532" t="s">
        <v>963</v>
      </c>
      <c r="D8" s="272" t="s">
        <v>964</v>
      </c>
      <c r="E8" s="580" t="s">
        <v>1054</v>
      </c>
      <c r="F8" s="580"/>
      <c r="G8" s="273"/>
      <c r="H8" s="427">
        <f>J8+L8+N8+P8</f>
        <v>117.57</v>
      </c>
      <c r="I8" s="427">
        <f>K8+M8+O8+Q8</f>
        <v>0</v>
      </c>
      <c r="J8" s="288">
        <v>117.57</v>
      </c>
      <c r="K8" s="276"/>
      <c r="L8" s="277"/>
      <c r="M8" s="278"/>
      <c r="N8" s="391"/>
      <c r="O8" s="392"/>
      <c r="P8" s="279"/>
      <c r="Q8" s="280"/>
      <c r="R8" s="195">
        <v>4.55</v>
      </c>
      <c r="S8" s="195"/>
      <c r="T8" s="195"/>
      <c r="U8" s="195"/>
      <c r="V8" s="195"/>
      <c r="W8" s="195"/>
      <c r="X8" s="553">
        <v>113.02</v>
      </c>
      <c r="Y8" s="568"/>
      <c r="Z8" s="569"/>
      <c r="AA8" s="281"/>
      <c r="AB8" s="282"/>
      <c r="AC8" s="282"/>
      <c r="AD8" s="282"/>
      <c r="AE8" s="282"/>
      <c r="AF8" s="282"/>
      <c r="AI8" s="410" t="s">
        <v>991</v>
      </c>
      <c r="AJ8" s="410" t="s">
        <v>992</v>
      </c>
    </row>
    <row r="9" spans="1:36" ht="18.75" customHeight="1">
      <c r="A9" s="270">
        <v>39480</v>
      </c>
      <c r="B9" s="283" t="s">
        <v>962</v>
      </c>
      <c r="C9" s="271" t="s">
        <v>965</v>
      </c>
      <c r="D9" s="272" t="s">
        <v>966</v>
      </c>
      <c r="E9" s="273" t="s">
        <v>1054</v>
      </c>
      <c r="F9" s="273"/>
      <c r="G9" s="273"/>
      <c r="H9" s="427">
        <f aca="true" t="shared" si="0" ref="H9:H17">J9+L9+N9+P9</f>
        <v>228.03</v>
      </c>
      <c r="I9" s="427">
        <f aca="true" t="shared" si="1" ref="I9:I17">K9+M9+O9+Q9</f>
        <v>0</v>
      </c>
      <c r="J9" s="288">
        <v>228.03</v>
      </c>
      <c r="K9" s="276"/>
      <c r="L9" s="277"/>
      <c r="M9" s="278"/>
      <c r="N9" s="391"/>
      <c r="O9" s="392"/>
      <c r="P9" s="279"/>
      <c r="Q9" s="280"/>
      <c r="R9" s="195"/>
      <c r="S9" s="195"/>
      <c r="T9" s="195"/>
      <c r="U9" s="195"/>
      <c r="V9" s="195"/>
      <c r="W9" s="195"/>
      <c r="X9" s="553">
        <v>228.03</v>
      </c>
      <c r="Y9" s="568"/>
      <c r="Z9" s="569"/>
      <c r="AA9" s="281"/>
      <c r="AB9" s="282"/>
      <c r="AC9" s="282"/>
      <c r="AD9" s="282"/>
      <c r="AE9" s="282"/>
      <c r="AF9" s="282"/>
      <c r="AI9" s="410" t="s">
        <v>993</v>
      </c>
      <c r="AJ9" s="430" t="s">
        <v>994</v>
      </c>
    </row>
    <row r="10" spans="1:36" ht="18.75" customHeight="1">
      <c r="A10" s="270">
        <v>39481</v>
      </c>
      <c r="B10" s="526" t="s">
        <v>967</v>
      </c>
      <c r="C10" s="271" t="s">
        <v>968</v>
      </c>
      <c r="D10" s="272" t="s">
        <v>1053</v>
      </c>
      <c r="E10" s="580"/>
      <c r="F10" s="431"/>
      <c r="G10" s="273" t="s">
        <v>1054</v>
      </c>
      <c r="H10" s="427">
        <f t="shared" si="0"/>
        <v>91.34</v>
      </c>
      <c r="I10" s="427">
        <f t="shared" si="1"/>
        <v>0</v>
      </c>
      <c r="J10" s="275">
        <v>91.34</v>
      </c>
      <c r="K10" s="276"/>
      <c r="L10" s="277"/>
      <c r="M10" s="278"/>
      <c r="N10" s="391"/>
      <c r="O10" s="392"/>
      <c r="P10" s="279"/>
      <c r="Q10" s="280"/>
      <c r="R10" s="195"/>
      <c r="S10" s="195"/>
      <c r="T10" s="195"/>
      <c r="U10" s="195"/>
      <c r="V10" s="195"/>
      <c r="W10" s="195">
        <v>91.34</v>
      </c>
      <c r="X10" s="553"/>
      <c r="Y10" s="568"/>
      <c r="Z10" s="569"/>
      <c r="AA10" s="281"/>
      <c r="AB10" s="282"/>
      <c r="AC10" s="282"/>
      <c r="AD10" s="282"/>
      <c r="AE10" s="282"/>
      <c r="AF10" s="282"/>
      <c r="AI10" s="410" t="s">
        <v>995</v>
      </c>
      <c r="AJ10" s="410" t="s">
        <v>996</v>
      </c>
    </row>
    <row r="11" spans="1:36" s="425" customFormat="1" ht="18.75" customHeight="1">
      <c r="A11" s="270">
        <v>39481</v>
      </c>
      <c r="B11" s="285" t="s">
        <v>782</v>
      </c>
      <c r="C11" s="527" t="s">
        <v>783</v>
      </c>
      <c r="D11" s="272" t="s">
        <v>784</v>
      </c>
      <c r="E11" s="273" t="s">
        <v>1054</v>
      </c>
      <c r="F11" s="273"/>
      <c r="G11" s="273"/>
      <c r="H11" s="427">
        <f t="shared" si="0"/>
        <v>225</v>
      </c>
      <c r="I11" s="427">
        <f t="shared" si="1"/>
        <v>0</v>
      </c>
      <c r="J11" s="288">
        <v>225</v>
      </c>
      <c r="K11" s="276"/>
      <c r="L11" s="277"/>
      <c r="M11" s="278"/>
      <c r="N11" s="391"/>
      <c r="O11" s="392"/>
      <c r="P11" s="279"/>
      <c r="Q11" s="280"/>
      <c r="R11" s="195"/>
      <c r="S11" s="195"/>
      <c r="T11" s="195"/>
      <c r="U11" s="195"/>
      <c r="V11" s="195"/>
      <c r="W11" s="195"/>
      <c r="X11" s="553">
        <v>225</v>
      </c>
      <c r="Y11" s="568"/>
      <c r="Z11" s="569"/>
      <c r="AA11" s="281"/>
      <c r="AB11" s="282"/>
      <c r="AC11" s="282"/>
      <c r="AD11" s="282"/>
      <c r="AE11" s="282"/>
      <c r="AF11" s="282"/>
      <c r="AI11" s="410" t="s">
        <v>997</v>
      </c>
      <c r="AJ11" s="410" t="s">
        <v>998</v>
      </c>
    </row>
    <row r="12" spans="1:36" ht="18.75" customHeight="1">
      <c r="A12" s="581">
        <v>39481</v>
      </c>
      <c r="B12" s="582" t="s">
        <v>1051</v>
      </c>
      <c r="C12" s="532" t="s">
        <v>785</v>
      </c>
      <c r="D12" s="272" t="s">
        <v>1053</v>
      </c>
      <c r="E12" s="273"/>
      <c r="F12" s="273"/>
      <c r="G12" s="273" t="s">
        <v>1054</v>
      </c>
      <c r="H12" s="427">
        <f t="shared" si="0"/>
        <v>15.3</v>
      </c>
      <c r="I12" s="427">
        <f t="shared" si="1"/>
        <v>0</v>
      </c>
      <c r="J12" s="275">
        <v>15.3</v>
      </c>
      <c r="K12" s="276"/>
      <c r="L12" s="277"/>
      <c r="M12" s="278"/>
      <c r="N12" s="391"/>
      <c r="O12" s="392"/>
      <c r="P12" s="279"/>
      <c r="Q12" s="280"/>
      <c r="R12" s="195"/>
      <c r="S12" s="195">
        <v>15.3</v>
      </c>
      <c r="T12" s="195"/>
      <c r="U12" s="195"/>
      <c r="V12" s="195"/>
      <c r="W12" s="195"/>
      <c r="X12" s="553"/>
      <c r="Y12" s="568"/>
      <c r="Z12" s="592"/>
      <c r="AA12" s="281"/>
      <c r="AB12" s="282"/>
      <c r="AC12" s="282"/>
      <c r="AD12" s="282"/>
      <c r="AE12" s="282"/>
      <c r="AF12" s="282"/>
      <c r="AI12" s="410" t="s">
        <v>999</v>
      </c>
      <c r="AJ12" s="410" t="s">
        <v>1000</v>
      </c>
    </row>
    <row r="13" spans="1:36" s="425" customFormat="1" ht="18.75" customHeight="1">
      <c r="A13" s="581">
        <v>39483</v>
      </c>
      <c r="B13" s="583" t="s">
        <v>924</v>
      </c>
      <c r="C13" s="532" t="s">
        <v>920</v>
      </c>
      <c r="D13" s="272" t="s">
        <v>1059</v>
      </c>
      <c r="E13" s="584"/>
      <c r="F13" s="584"/>
      <c r="G13" s="273"/>
      <c r="H13" s="427">
        <f t="shared" si="0"/>
        <v>0</v>
      </c>
      <c r="I13" s="427">
        <f t="shared" si="1"/>
        <v>217</v>
      </c>
      <c r="J13" s="275"/>
      <c r="K13" s="276">
        <v>217</v>
      </c>
      <c r="L13" s="277"/>
      <c r="M13" s="278"/>
      <c r="N13" s="391"/>
      <c r="O13" s="392"/>
      <c r="P13" s="279"/>
      <c r="Q13" s="280"/>
      <c r="R13" s="195"/>
      <c r="S13" s="195"/>
      <c r="T13" s="195"/>
      <c r="U13" s="195"/>
      <c r="V13" s="195"/>
      <c r="W13" s="195"/>
      <c r="X13" s="553"/>
      <c r="Y13" s="568"/>
      <c r="Z13" s="592"/>
      <c r="AA13" s="281"/>
      <c r="AB13" s="282">
        <v>217</v>
      </c>
      <c r="AC13" s="282"/>
      <c r="AD13" s="282"/>
      <c r="AE13" s="282"/>
      <c r="AF13" s="282"/>
      <c r="AI13" s="410" t="s">
        <v>1001</v>
      </c>
      <c r="AJ13" s="410" t="s">
        <v>1002</v>
      </c>
    </row>
    <row r="14" spans="1:36" s="588" customFormat="1" ht="18.75" customHeight="1">
      <c r="A14" s="581">
        <v>39483</v>
      </c>
      <c r="B14" s="582" t="s">
        <v>1051</v>
      </c>
      <c r="C14" s="532" t="s">
        <v>926</v>
      </c>
      <c r="D14" s="585"/>
      <c r="E14" s="586"/>
      <c r="F14" s="587"/>
      <c r="G14" s="586"/>
      <c r="H14" s="427">
        <f t="shared" si="0"/>
        <v>0</v>
      </c>
      <c r="I14" s="427">
        <f t="shared" si="1"/>
        <v>2591.59</v>
      </c>
      <c r="J14" s="288"/>
      <c r="K14" s="276">
        <v>2591.59</v>
      </c>
      <c r="L14" s="277"/>
      <c r="M14" s="278"/>
      <c r="N14" s="391"/>
      <c r="O14" s="392"/>
      <c r="P14" s="279"/>
      <c r="Q14" s="280"/>
      <c r="R14" s="195"/>
      <c r="S14" s="195"/>
      <c r="T14" s="195"/>
      <c r="U14" s="195"/>
      <c r="V14" s="195"/>
      <c r="W14" s="195"/>
      <c r="X14" s="553"/>
      <c r="Y14" s="593"/>
      <c r="Z14" s="594"/>
      <c r="AA14" s="591"/>
      <c r="AB14" s="238">
        <v>2591.59</v>
      </c>
      <c r="AC14" s="238"/>
      <c r="AD14" s="238"/>
      <c r="AE14" s="238"/>
      <c r="AF14" s="238"/>
      <c r="AI14" s="589"/>
      <c r="AJ14" s="589" t="s">
        <v>1003</v>
      </c>
    </row>
    <row r="15" spans="1:36" s="425" customFormat="1" ht="18.75" customHeight="1">
      <c r="A15" s="581">
        <v>39484</v>
      </c>
      <c r="B15" s="582" t="s">
        <v>1055</v>
      </c>
      <c r="C15" s="532" t="s">
        <v>1055</v>
      </c>
      <c r="D15" s="287" t="s">
        <v>1053</v>
      </c>
      <c r="E15" s="584"/>
      <c r="F15" s="584"/>
      <c r="G15" s="273" t="s">
        <v>1054</v>
      </c>
      <c r="H15" s="427">
        <f t="shared" si="0"/>
        <v>31.98</v>
      </c>
      <c r="I15" s="427">
        <f t="shared" si="1"/>
        <v>0</v>
      </c>
      <c r="J15" s="288">
        <v>31.98</v>
      </c>
      <c r="K15" s="276"/>
      <c r="L15" s="277"/>
      <c r="M15" s="278"/>
      <c r="N15" s="391"/>
      <c r="O15" s="392"/>
      <c r="P15" s="279"/>
      <c r="Q15" s="280"/>
      <c r="R15" s="195"/>
      <c r="S15" s="195"/>
      <c r="T15" s="195">
        <v>31.98</v>
      </c>
      <c r="U15" s="195"/>
      <c r="V15" s="195"/>
      <c r="W15" s="195"/>
      <c r="X15" s="553"/>
      <c r="Y15" s="568"/>
      <c r="Z15" s="592"/>
      <c r="AA15" s="281"/>
      <c r="AB15" s="282"/>
      <c r="AC15" s="282"/>
      <c r="AD15" s="282"/>
      <c r="AE15" s="282"/>
      <c r="AF15" s="282"/>
      <c r="AI15" s="410"/>
      <c r="AJ15" s="410"/>
    </row>
    <row r="16" spans="1:35" s="425" customFormat="1" ht="18.75" customHeight="1">
      <c r="A16" s="581">
        <v>39489</v>
      </c>
      <c r="B16" s="582" t="s">
        <v>989</v>
      </c>
      <c r="C16" s="532" t="s">
        <v>1056</v>
      </c>
      <c r="D16" s="287" t="s">
        <v>1053</v>
      </c>
      <c r="E16" s="584"/>
      <c r="F16" s="584"/>
      <c r="G16" s="273" t="s">
        <v>1054</v>
      </c>
      <c r="H16" s="427">
        <f t="shared" si="0"/>
        <v>649.09</v>
      </c>
      <c r="I16" s="427">
        <f t="shared" si="1"/>
        <v>0</v>
      </c>
      <c r="J16" s="288">
        <v>649.09</v>
      </c>
      <c r="K16" s="276"/>
      <c r="L16" s="277"/>
      <c r="M16" s="278"/>
      <c r="N16" s="391"/>
      <c r="O16" s="392"/>
      <c r="P16" s="279"/>
      <c r="Q16" s="280"/>
      <c r="R16" s="195"/>
      <c r="S16" s="195"/>
      <c r="T16" s="195"/>
      <c r="U16" s="195">
        <v>649.09</v>
      </c>
      <c r="V16" s="195"/>
      <c r="W16" s="195"/>
      <c r="X16" s="553"/>
      <c r="Y16" s="568"/>
      <c r="Z16" s="592"/>
      <c r="AA16" s="281"/>
      <c r="AB16" s="282"/>
      <c r="AC16" s="282"/>
      <c r="AD16" s="282"/>
      <c r="AE16" s="282"/>
      <c r="AF16" s="282"/>
      <c r="AI16" s="410"/>
    </row>
    <row r="17" spans="1:35" s="425" customFormat="1" ht="18.75" customHeight="1" thickBot="1">
      <c r="A17" s="581"/>
      <c r="B17" s="582"/>
      <c r="C17" s="532"/>
      <c r="D17" s="287"/>
      <c r="E17" s="584"/>
      <c r="F17" s="584"/>
      <c r="G17" s="273"/>
      <c r="H17" s="427">
        <f t="shared" si="0"/>
        <v>0</v>
      </c>
      <c r="I17" s="427">
        <f t="shared" si="1"/>
        <v>0</v>
      </c>
      <c r="J17" s="288"/>
      <c r="K17" s="276"/>
      <c r="L17" s="277"/>
      <c r="M17" s="278"/>
      <c r="N17" s="524"/>
      <c r="O17" s="392"/>
      <c r="P17" s="279"/>
      <c r="Q17" s="280"/>
      <c r="R17" s="195"/>
      <c r="S17" s="195"/>
      <c r="T17" s="195"/>
      <c r="U17" s="195"/>
      <c r="V17" s="195"/>
      <c r="W17" s="195"/>
      <c r="X17" s="553"/>
      <c r="Y17" s="571"/>
      <c r="Z17" s="595"/>
      <c r="AA17" s="281"/>
      <c r="AB17" s="282"/>
      <c r="AC17" s="282"/>
      <c r="AD17" s="282"/>
      <c r="AE17" s="282"/>
      <c r="AF17" s="282"/>
      <c r="AI17" s="410"/>
    </row>
    <row r="18" spans="1:32" ht="18.75" customHeight="1" thickBot="1">
      <c r="A18" s="433"/>
      <c r="B18" s="434"/>
      <c r="C18" s="435" t="s">
        <v>786</v>
      </c>
      <c r="D18" s="436"/>
      <c r="E18" s="590"/>
      <c r="F18" s="590"/>
      <c r="G18" s="590"/>
      <c r="H18" s="438">
        <f aca="true" t="shared" si="2" ref="H18:AF18">SUM(H8:H17)</f>
        <v>1358.31</v>
      </c>
      <c r="I18" s="439">
        <f t="shared" si="2"/>
        <v>2808.59</v>
      </c>
      <c r="J18" s="440">
        <f t="shared" si="2"/>
        <v>1358.31</v>
      </c>
      <c r="K18" s="440">
        <f t="shared" si="2"/>
        <v>2808.59</v>
      </c>
      <c r="L18" s="440">
        <f t="shared" si="2"/>
        <v>0</v>
      </c>
      <c r="M18" s="440">
        <f t="shared" si="2"/>
        <v>0</v>
      </c>
      <c r="N18" s="440">
        <f t="shared" si="2"/>
        <v>0</v>
      </c>
      <c r="O18" s="440">
        <f t="shared" si="2"/>
        <v>0</v>
      </c>
      <c r="P18" s="440">
        <f t="shared" si="2"/>
        <v>0</v>
      </c>
      <c r="Q18" s="440">
        <f t="shared" si="2"/>
        <v>0</v>
      </c>
      <c r="R18" s="440">
        <f t="shared" si="2"/>
        <v>4.55</v>
      </c>
      <c r="S18" s="440">
        <f t="shared" si="2"/>
        <v>15.3</v>
      </c>
      <c r="T18" s="440">
        <f t="shared" si="2"/>
        <v>31.98</v>
      </c>
      <c r="U18" s="440">
        <f t="shared" si="2"/>
        <v>649.09</v>
      </c>
      <c r="V18" s="440">
        <f t="shared" si="2"/>
        <v>0</v>
      </c>
      <c r="W18" s="440">
        <f t="shared" si="2"/>
        <v>91.34</v>
      </c>
      <c r="X18" s="440">
        <f t="shared" si="2"/>
        <v>566.05</v>
      </c>
      <c r="Y18" s="440">
        <f t="shared" si="2"/>
        <v>0</v>
      </c>
      <c r="Z18" s="440">
        <f t="shared" si="2"/>
        <v>0</v>
      </c>
      <c r="AA18" s="440">
        <f t="shared" si="2"/>
        <v>0</v>
      </c>
      <c r="AB18" s="440">
        <f t="shared" si="2"/>
        <v>2808.59</v>
      </c>
      <c r="AC18" s="440">
        <f t="shared" si="2"/>
        <v>0</v>
      </c>
      <c r="AD18" s="440">
        <f t="shared" si="2"/>
        <v>0</v>
      </c>
      <c r="AE18" s="440">
        <f t="shared" si="2"/>
        <v>0</v>
      </c>
      <c r="AF18" s="440">
        <f t="shared" si="2"/>
        <v>0</v>
      </c>
    </row>
    <row r="19" spans="2:32" ht="12">
      <c r="B19" s="441"/>
      <c r="C19" s="441"/>
      <c r="D19" s="442"/>
      <c r="E19" s="422"/>
      <c r="F19" s="422"/>
      <c r="G19" s="422"/>
      <c r="H19" s="443"/>
      <c r="I19" s="443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</row>
    <row r="20" spans="2:32" s="445" customFormat="1" ht="18.75" customHeight="1" thickBot="1">
      <c r="B20" s="446"/>
      <c r="C20" s="446"/>
      <c r="D20" s="407"/>
      <c r="E20" s="397"/>
      <c r="F20" s="397"/>
      <c r="G20" s="447" t="s">
        <v>1066</v>
      </c>
      <c r="H20" s="448">
        <f>(J18+L18+P18)-Y18</f>
        <v>1358.31</v>
      </c>
      <c r="J20" s="449"/>
      <c r="K20" s="400"/>
      <c r="N20" s="449" t="s">
        <v>1067</v>
      </c>
      <c r="O20" s="450">
        <f>(K18+M18+Q18)-Z18</f>
        <v>2808.59</v>
      </c>
      <c r="Q20" s="451"/>
      <c r="T20" s="449" t="s">
        <v>787</v>
      </c>
      <c r="U20" s="549">
        <f>(R18+S18+T18+U18+V18+W18+X18)</f>
        <v>1358.31</v>
      </c>
      <c r="V20" s="453"/>
      <c r="W20" s="453"/>
      <c r="X20" s="453"/>
      <c r="Y20" s="454"/>
      <c r="AA20" s="455"/>
      <c r="AC20" s="447" t="s">
        <v>885</v>
      </c>
      <c r="AD20" s="550">
        <f>(AA18+AB18+AC18+AD18+AE18+AF18)</f>
        <v>2808.59</v>
      </c>
      <c r="AE20" s="453"/>
      <c r="AF20" s="453"/>
    </row>
    <row r="21" spans="2:32" s="457" customFormat="1" ht="18.75" customHeight="1" thickBot="1">
      <c r="B21" s="458"/>
      <c r="C21" s="459" t="s">
        <v>975</v>
      </c>
      <c r="D21" s="460"/>
      <c r="E21" s="397"/>
      <c r="F21" s="397"/>
      <c r="G21" s="461"/>
      <c r="H21" s="462">
        <f aca="true" t="shared" si="3" ref="H21:AF21">SUM(H3+H18)</f>
        <v>18661.579999999998</v>
      </c>
      <c r="I21" s="463">
        <f t="shared" si="3"/>
        <v>24493.63</v>
      </c>
      <c r="J21" s="464">
        <f t="shared" si="3"/>
        <v>18661.579999999998</v>
      </c>
      <c r="K21" s="464">
        <f t="shared" si="3"/>
        <v>26336.36</v>
      </c>
      <c r="L21" s="464">
        <f t="shared" si="3"/>
        <v>0</v>
      </c>
      <c r="M21" s="464">
        <f t="shared" si="3"/>
        <v>63232.73</v>
      </c>
      <c r="N21" s="464">
        <f t="shared" si="3"/>
        <v>0</v>
      </c>
      <c r="O21" s="464">
        <f t="shared" si="3"/>
        <v>77741.76</v>
      </c>
      <c r="P21" s="464">
        <f t="shared" si="3"/>
        <v>0</v>
      </c>
      <c r="Q21" s="464">
        <f t="shared" si="3"/>
        <v>115.16</v>
      </c>
      <c r="R21" s="464">
        <f t="shared" si="3"/>
        <v>132.72000000000003</v>
      </c>
      <c r="S21" s="464">
        <f t="shared" si="3"/>
        <v>61.2</v>
      </c>
      <c r="T21" s="464">
        <f t="shared" si="3"/>
        <v>1525.62</v>
      </c>
      <c r="U21" s="464">
        <f t="shared" si="3"/>
        <v>2110.57</v>
      </c>
      <c r="V21" s="464">
        <f t="shared" si="3"/>
        <v>2013.34</v>
      </c>
      <c r="W21" s="464">
        <f t="shared" si="3"/>
        <v>91.34</v>
      </c>
      <c r="X21" s="464">
        <f t="shared" si="3"/>
        <v>726.79</v>
      </c>
      <c r="Y21" s="464">
        <f t="shared" si="3"/>
        <v>12000</v>
      </c>
      <c r="Z21" s="464">
        <f t="shared" si="3"/>
        <v>12000</v>
      </c>
      <c r="AA21" s="464">
        <f t="shared" si="3"/>
        <v>0</v>
      </c>
      <c r="AB21" s="464">
        <f t="shared" si="3"/>
        <v>11227.49</v>
      </c>
      <c r="AC21" s="464">
        <f t="shared" si="3"/>
        <v>0</v>
      </c>
      <c r="AD21" s="464">
        <f t="shared" si="3"/>
        <v>0</v>
      </c>
      <c r="AE21" s="464">
        <f t="shared" si="3"/>
        <v>1237.54</v>
      </c>
      <c r="AF21" s="464">
        <f t="shared" si="3"/>
        <v>28.6</v>
      </c>
    </row>
    <row r="22" spans="2:32" s="457" customFormat="1" ht="12.75" thickBot="1">
      <c r="B22" s="458"/>
      <c r="C22" s="458"/>
      <c r="D22" s="460"/>
      <c r="E22" s="397"/>
      <c r="F22" s="397"/>
      <c r="G22" s="461"/>
      <c r="H22" s="465"/>
      <c r="I22" s="466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</row>
    <row r="23" spans="2:32" s="445" customFormat="1" ht="18.75" customHeight="1" thickBot="1">
      <c r="B23" s="458"/>
      <c r="C23" s="468"/>
      <c r="D23" s="407"/>
      <c r="E23" s="397"/>
      <c r="F23" s="397"/>
      <c r="G23" s="447" t="s">
        <v>887</v>
      </c>
      <c r="H23" s="469">
        <f>(J21+L21+P21)-Y21</f>
        <v>6661.579999999998</v>
      </c>
      <c r="J23" s="449"/>
      <c r="K23" s="400"/>
      <c r="N23" s="449"/>
      <c r="O23" s="449" t="s">
        <v>938</v>
      </c>
      <c r="P23" s="450">
        <f>(K21+M21+O21+Q21)-Y21</f>
        <v>155426.00999999998</v>
      </c>
      <c r="Q23" s="451"/>
      <c r="R23" s="449" t="s">
        <v>887</v>
      </c>
      <c r="S23" s="452">
        <f>(R21+S21+T21+U21+V21+W21+X21)</f>
        <v>6661.58</v>
      </c>
      <c r="T23" s="453"/>
      <c r="U23" s="453"/>
      <c r="V23" s="453"/>
      <c r="W23" s="453"/>
      <c r="X23" s="453"/>
      <c r="Y23" s="470"/>
      <c r="AA23" s="455"/>
      <c r="AB23" s="447" t="s">
        <v>1069</v>
      </c>
      <c r="AC23" s="456">
        <f>(AA21+AB21+AC21+AD21+AE21+AF21)</f>
        <v>12493.63</v>
      </c>
      <c r="AD23" s="453"/>
      <c r="AE23" s="453"/>
      <c r="AF23" s="453"/>
    </row>
    <row r="24" spans="2:28" ht="18.75" customHeight="1" thickBot="1">
      <c r="B24" s="458"/>
      <c r="C24" s="471" t="s">
        <v>959</v>
      </c>
      <c r="D24" s="472" t="s">
        <v>1071</v>
      </c>
      <c r="E24" s="473"/>
      <c r="F24" s="473"/>
      <c r="G24" s="473"/>
      <c r="H24" s="474">
        <f>Jan15!H27</f>
        <v>6224.500000000002</v>
      </c>
      <c r="I24" s="475"/>
      <c r="J24" s="476" t="s">
        <v>1072</v>
      </c>
      <c r="K24" s="474">
        <f>Jan15!K27</f>
        <v>63232.73</v>
      </c>
      <c r="L24" s="477"/>
      <c r="M24" s="343" t="s">
        <v>1073</v>
      </c>
      <c r="N24" s="596">
        <f>Jan15!N27</f>
        <v>77741.76</v>
      </c>
      <c r="O24" s="477"/>
      <c r="P24" s="478" t="s">
        <v>981</v>
      </c>
      <c r="Q24" s="474">
        <f>Jan15!Q27</f>
        <v>115.16</v>
      </c>
      <c r="AB24" s="479"/>
    </row>
    <row r="25" spans="2:28" s="480" customFormat="1" ht="12.75" thickBot="1">
      <c r="B25" s="425"/>
      <c r="C25" s="481" t="s">
        <v>894</v>
      </c>
      <c r="D25" s="482"/>
      <c r="E25" s="397"/>
      <c r="F25" s="397"/>
      <c r="G25" s="397"/>
      <c r="H25" s="483"/>
      <c r="I25" s="484"/>
      <c r="J25" s="483"/>
      <c r="K25" s="483"/>
      <c r="L25" s="484"/>
      <c r="M25" s="484"/>
      <c r="N25" s="484"/>
      <c r="O25" s="484"/>
      <c r="P25" s="483"/>
      <c r="Q25" s="400"/>
      <c r="R25" s="485"/>
      <c r="S25" s="476" t="s">
        <v>1074</v>
      </c>
      <c r="T25" s="486"/>
      <c r="U25" s="487"/>
      <c r="V25" s="487"/>
      <c r="W25" s="487"/>
      <c r="X25" s="476" t="s">
        <v>1075</v>
      </c>
      <c r="Y25" s="488"/>
      <c r="Z25" s="486"/>
      <c r="AB25" s="405"/>
    </row>
    <row r="26" spans="2:28" ht="18.75" customHeight="1" thickBot="1" thickTop="1">
      <c r="B26" s="489"/>
      <c r="C26" s="490" t="s">
        <v>976</v>
      </c>
      <c r="D26" s="491" t="s">
        <v>1071</v>
      </c>
      <c r="E26" s="492"/>
      <c r="F26" s="492"/>
      <c r="G26" s="492"/>
      <c r="H26" s="493">
        <f>SUM(H24+K18)-(J18)</f>
        <v>7674.7800000000025</v>
      </c>
      <c r="I26" s="494"/>
      <c r="J26" s="495" t="s">
        <v>1072</v>
      </c>
      <c r="K26" s="493">
        <f>K24+M18-L18</f>
        <v>63232.73</v>
      </c>
      <c r="M26" s="343" t="s">
        <v>1073</v>
      </c>
      <c r="N26" s="597">
        <f>N24+O18-N18</f>
        <v>77741.76</v>
      </c>
      <c r="P26" s="495" t="s">
        <v>981</v>
      </c>
      <c r="Q26" s="493">
        <f>SUM(Q24+Q18)-(P18)</f>
        <v>115.16</v>
      </c>
      <c r="R26" s="496"/>
      <c r="S26" s="495" t="s">
        <v>1077</v>
      </c>
      <c r="T26" s="497"/>
      <c r="X26" s="495" t="s">
        <v>898</v>
      </c>
      <c r="Y26" s="498"/>
      <c r="Z26" s="497"/>
      <c r="AB26" s="499"/>
    </row>
    <row r="27" spans="2:28" ht="18.75" customHeight="1" thickTop="1">
      <c r="B27" s="489"/>
      <c r="C27" s="489"/>
      <c r="D27" s="538"/>
      <c r="E27" s="422"/>
      <c r="F27" s="422"/>
      <c r="G27" s="422"/>
      <c r="H27" s="539"/>
      <c r="I27" s="494"/>
      <c r="J27" s="496"/>
      <c r="K27" s="539"/>
      <c r="M27" s="353"/>
      <c r="N27" s="542"/>
      <c r="P27" s="496"/>
      <c r="Q27" s="539"/>
      <c r="R27" s="496"/>
      <c r="S27" s="496"/>
      <c r="T27" s="540"/>
      <c r="X27" s="496"/>
      <c r="Y27" s="498"/>
      <c r="Z27" s="540"/>
      <c r="AB27" s="499"/>
    </row>
    <row r="28" spans="2:29" s="457" customFormat="1" ht="12">
      <c r="B28" s="446" t="s">
        <v>899</v>
      </c>
      <c r="C28" s="500"/>
      <c r="D28" s="501" t="s">
        <v>900</v>
      </c>
      <c r="E28" s="502"/>
      <c r="F28" s="502"/>
      <c r="G28" s="502"/>
      <c r="H28" s="503"/>
      <c r="I28" s="501" t="s">
        <v>901</v>
      </c>
      <c r="J28" s="503"/>
      <c r="K28" s="503"/>
      <c r="L28" s="501" t="s">
        <v>902</v>
      </c>
      <c r="M28" s="501"/>
      <c r="N28" s="501"/>
      <c r="O28" s="501"/>
      <c r="P28" s="503"/>
      <c r="Q28" s="503"/>
      <c r="R28" s="501" t="s">
        <v>903</v>
      </c>
      <c r="S28" s="400"/>
      <c r="T28" s="501" t="s">
        <v>900</v>
      </c>
      <c r="U28" s="400"/>
      <c r="V28" s="400"/>
      <c r="W28" s="400"/>
      <c r="X28" s="501" t="s">
        <v>901</v>
      </c>
      <c r="Y28" s="504"/>
      <c r="Z28" s="503"/>
      <c r="AB28" s="505"/>
      <c r="AC28" s="501" t="s">
        <v>902</v>
      </c>
    </row>
    <row r="29" spans="2:28" s="457" customFormat="1" ht="12">
      <c r="B29" s="446"/>
      <c r="C29" s="500"/>
      <c r="D29" s="501"/>
      <c r="E29" s="502"/>
      <c r="F29" s="502"/>
      <c r="G29" s="502"/>
      <c r="H29" s="503"/>
      <c r="I29" s="501"/>
      <c r="J29" s="503"/>
      <c r="K29" s="503"/>
      <c r="L29" s="501"/>
      <c r="M29" s="501"/>
      <c r="N29" s="501"/>
      <c r="O29" s="501"/>
      <c r="P29" s="503"/>
      <c r="Q29" s="503"/>
      <c r="R29" s="501"/>
      <c r="S29" s="400"/>
      <c r="T29" s="501"/>
      <c r="U29" s="400"/>
      <c r="V29" s="400"/>
      <c r="W29" s="400"/>
      <c r="X29" s="501"/>
      <c r="Y29" s="504"/>
      <c r="Z29" s="503"/>
      <c r="AB29" s="505"/>
    </row>
    <row r="30" spans="2:28" s="506" customFormat="1" ht="12">
      <c r="B30" s="533" t="s">
        <v>904</v>
      </c>
      <c r="C30" s="507"/>
      <c r="D30" s="506" t="s">
        <v>905</v>
      </c>
      <c r="E30" s="508"/>
      <c r="F30" s="508"/>
      <c r="H30" s="509"/>
      <c r="I30" s="510"/>
      <c r="J30" s="511"/>
      <c r="K30" s="511"/>
      <c r="L30" s="510"/>
      <c r="M30" s="510"/>
      <c r="N30" s="510"/>
      <c r="O30" s="510"/>
      <c r="P30" s="511"/>
      <c r="Q30" s="511"/>
      <c r="R30" s="510" t="s">
        <v>904</v>
      </c>
      <c r="S30" s="400"/>
      <c r="T30" s="511" t="s">
        <v>905</v>
      </c>
      <c r="U30" s="400"/>
      <c r="V30" s="400"/>
      <c r="W30" s="400"/>
      <c r="X30" s="510"/>
      <c r="Y30" s="512"/>
      <c r="Z30" s="509"/>
      <c r="AB30" s="513"/>
    </row>
    <row r="31" spans="2:28" s="506" customFormat="1" ht="52.5" customHeight="1">
      <c r="B31" s="533"/>
      <c r="C31" s="507"/>
      <c r="E31" s="508"/>
      <c r="F31" s="508"/>
      <c r="H31" s="509"/>
      <c r="I31" s="510"/>
      <c r="J31" s="511"/>
      <c r="K31" s="511"/>
      <c r="L31" s="510"/>
      <c r="M31" s="510"/>
      <c r="N31" s="510"/>
      <c r="O31" s="510"/>
      <c r="P31" s="511"/>
      <c r="Q31" s="511"/>
      <c r="R31" s="510"/>
      <c r="S31" s="400"/>
      <c r="T31" s="511"/>
      <c r="U31" s="400"/>
      <c r="V31" s="400"/>
      <c r="W31" s="400"/>
      <c r="X31" s="510"/>
      <c r="Y31" s="512"/>
      <c r="Z31" s="509"/>
      <c r="AB31" s="513"/>
    </row>
    <row r="32" spans="3:28" ht="18.75" customHeight="1">
      <c r="C32" s="514" t="s">
        <v>906</v>
      </c>
      <c r="D32" s="515"/>
      <c r="E32" s="516"/>
      <c r="F32" s="516"/>
      <c r="G32" s="517"/>
      <c r="H32" s="518">
        <f>H26+K26+N26+Q26</f>
        <v>148764.43000000002</v>
      </c>
      <c r="AB32" s="519"/>
    </row>
    <row r="33" ht="12">
      <c r="J33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33"/>
  <sheetViews>
    <sheetView zoomScale="125" zoomScaleNormal="125" zoomScalePageLayoutView="0" workbookViewId="0" topLeftCell="A1">
      <selection activeCell="U14" sqref="U14"/>
    </sheetView>
  </sheetViews>
  <sheetFormatPr defaultColWidth="11.7109375" defaultRowHeight="12.75"/>
  <cols>
    <col min="1" max="1" width="7.7109375" style="407" customWidth="1"/>
    <col min="2" max="2" width="15.140625" style="398" customWidth="1"/>
    <col min="3" max="3" width="3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0" width="10.7109375" style="400" customWidth="1"/>
    <col min="11" max="11" width="10.8515625" style="400" customWidth="1"/>
    <col min="12" max="13" width="14.140625" style="400" customWidth="1"/>
    <col min="14" max="15" width="11.421875" style="400" customWidth="1"/>
    <col min="16" max="16" width="12.421875" style="400" customWidth="1"/>
    <col min="17" max="17" width="9.28125" style="400" customWidth="1"/>
    <col min="18" max="18" width="14.140625" style="400" customWidth="1"/>
    <col min="19" max="19" width="11.140625" style="400" customWidth="1"/>
    <col min="20" max="20" width="12.421875" style="400" customWidth="1"/>
    <col min="21" max="21" width="10.421875" style="400" customWidth="1"/>
    <col min="22" max="24" width="10.7109375" style="400" customWidth="1"/>
    <col min="25" max="25" width="12.00390625" style="409" customWidth="1"/>
    <col min="26" max="26" width="12.00390625" style="400" customWidth="1"/>
    <col min="27" max="27" width="10.7109375" style="407" customWidth="1"/>
    <col min="28" max="28" width="11.421875" style="522" customWidth="1"/>
    <col min="29" max="29" width="13.28125" style="407" customWidth="1"/>
    <col min="30" max="32" width="10.7109375" style="407" customWidth="1"/>
    <col min="33" max="16384" width="11.7109375" style="407" customWidth="1"/>
  </cols>
  <sheetData>
    <row r="1" spans="2:36" s="397" customFormat="1" ht="16.5" customHeight="1">
      <c r="B1" s="398"/>
      <c r="C1" s="55" t="s">
        <v>942</v>
      </c>
      <c r="D1" s="399"/>
      <c r="H1" s="400" t="s">
        <v>1016</v>
      </c>
      <c r="I1" s="401"/>
      <c r="J1" s="402" t="s">
        <v>977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978</v>
      </c>
      <c r="AB1" s="405"/>
      <c r="AI1" s="406" t="s">
        <v>969</v>
      </c>
      <c r="AJ1" s="406" t="s">
        <v>970</v>
      </c>
    </row>
    <row r="2" spans="2:36" ht="12" customHeight="1" thickBot="1">
      <c r="B2" s="407"/>
      <c r="C2" s="408"/>
      <c r="D2" s="407"/>
      <c r="H2" s="400"/>
      <c r="I2" s="400"/>
      <c r="AB2" s="405"/>
      <c r="AI2" s="410" t="s">
        <v>971</v>
      </c>
      <c r="AJ2" s="411" t="s">
        <v>972</v>
      </c>
    </row>
    <row r="3" spans="3:36" s="412" customFormat="1" ht="18.75" customHeight="1" thickBot="1">
      <c r="C3" s="413"/>
      <c r="D3" s="414"/>
      <c r="E3" s="832" t="s">
        <v>1018</v>
      </c>
      <c r="F3" s="833"/>
      <c r="G3" s="834"/>
      <c r="H3" s="415">
        <f>Fév15!H21</f>
        <v>18661.579999999998</v>
      </c>
      <c r="I3" s="415">
        <f>Fév15!I21</f>
        <v>24493.63</v>
      </c>
      <c r="J3" s="415">
        <f>Fév15!J21</f>
        <v>18661.579999999998</v>
      </c>
      <c r="K3" s="415">
        <f>Fév15!K21</f>
        <v>26336.36</v>
      </c>
      <c r="L3" s="415">
        <f>Fév15!L21</f>
        <v>0</v>
      </c>
      <c r="M3" s="415">
        <f>Fév15!M21</f>
        <v>63232.73</v>
      </c>
      <c r="N3" s="415">
        <f>Fév15!N21</f>
        <v>0</v>
      </c>
      <c r="O3" s="415">
        <f>Fév15!O21</f>
        <v>77741.76</v>
      </c>
      <c r="P3" s="415">
        <f>Fév15!P21</f>
        <v>0</v>
      </c>
      <c r="Q3" s="415">
        <f>Fév15!Q21</f>
        <v>115.16</v>
      </c>
      <c r="R3" s="415">
        <f>Fév15!R21</f>
        <v>132.72000000000003</v>
      </c>
      <c r="S3" s="415">
        <f>Fév15!S21</f>
        <v>61.2</v>
      </c>
      <c r="T3" s="415">
        <f>Fév15!T21</f>
        <v>1525.62</v>
      </c>
      <c r="U3" s="415">
        <f>Fév15!U21</f>
        <v>2110.57</v>
      </c>
      <c r="V3" s="415">
        <f>Fév15!V21</f>
        <v>2013.34</v>
      </c>
      <c r="W3" s="415">
        <f>Fév15!W21</f>
        <v>91.34</v>
      </c>
      <c r="X3" s="415">
        <f>Fév15!X21</f>
        <v>726.79</v>
      </c>
      <c r="Y3" s="415">
        <f>Fév15!Y21</f>
        <v>12000</v>
      </c>
      <c r="Z3" s="415">
        <f>Fév15!Z21</f>
        <v>12000</v>
      </c>
      <c r="AA3" s="415">
        <f>Fév15!AA21</f>
        <v>0</v>
      </c>
      <c r="AB3" s="415">
        <f>Fév15!AB21</f>
        <v>11227.49</v>
      </c>
      <c r="AC3" s="415">
        <f>Fév15!AC21</f>
        <v>0</v>
      </c>
      <c r="AD3" s="415">
        <f>Fév15!AD21</f>
        <v>0</v>
      </c>
      <c r="AE3" s="415">
        <f>Fév15!AE21</f>
        <v>1237.54</v>
      </c>
      <c r="AF3" s="415">
        <f>Fév15!AF21</f>
        <v>28.6</v>
      </c>
      <c r="AI3" s="410" t="s">
        <v>973</v>
      </c>
      <c r="AJ3" s="410" t="s">
        <v>974</v>
      </c>
    </row>
    <row r="4" spans="2:36" s="412" customFormat="1" ht="14.25" customHeight="1" thickBot="1"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793</v>
      </c>
      <c r="S4" s="845"/>
      <c r="T4" s="845"/>
      <c r="U4" s="845"/>
      <c r="V4" s="845"/>
      <c r="W4" s="845"/>
      <c r="X4" s="860"/>
      <c r="Y4" s="563"/>
      <c r="Z4" s="598"/>
      <c r="AA4" s="857" t="s">
        <v>1021</v>
      </c>
      <c r="AB4" s="838"/>
      <c r="AC4" s="838"/>
      <c r="AD4" s="838"/>
      <c r="AE4" s="838"/>
      <c r="AF4" s="839"/>
      <c r="AI4" s="410" t="s">
        <v>979</v>
      </c>
      <c r="AJ4" s="410" t="s">
        <v>980</v>
      </c>
    </row>
    <row r="5" spans="2:36" s="419" customFormat="1" ht="12.75" customHeight="1"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I5" s="410" t="s">
        <v>981</v>
      </c>
      <c r="AJ5" s="410" t="s">
        <v>982</v>
      </c>
    </row>
    <row r="6" spans="2:36" ht="13.5" customHeight="1" thickBot="1">
      <c r="B6" s="425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I6" s="410" t="s">
        <v>987</v>
      </c>
      <c r="AJ6" s="410" t="s">
        <v>988</v>
      </c>
    </row>
    <row r="7" spans="1:232" s="62" customFormat="1" ht="22.5" customHeight="1">
      <c r="A7" s="185" t="s">
        <v>1028</v>
      </c>
      <c r="B7" s="182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6" t="s">
        <v>1033</v>
      </c>
      <c r="H7" s="59" t="s">
        <v>1034</v>
      </c>
      <c r="I7" s="60" t="s">
        <v>1035</v>
      </c>
      <c r="J7" s="61" t="s">
        <v>1036</v>
      </c>
      <c r="K7" s="62" t="s">
        <v>1037</v>
      </c>
      <c r="L7" s="61" t="s">
        <v>1036</v>
      </c>
      <c r="M7" s="62" t="s">
        <v>1037</v>
      </c>
      <c r="N7" s="61" t="s">
        <v>1036</v>
      </c>
      <c r="O7" s="62" t="s">
        <v>1037</v>
      </c>
      <c r="P7" s="61" t="s">
        <v>1036</v>
      </c>
      <c r="Q7" s="62" t="s">
        <v>1037</v>
      </c>
      <c r="R7" s="58" t="s">
        <v>1038</v>
      </c>
      <c r="S7" s="58" t="s">
        <v>1039</v>
      </c>
      <c r="T7" s="564" t="s">
        <v>1040</v>
      </c>
      <c r="U7" s="600" t="s">
        <v>1041</v>
      </c>
      <c r="V7" s="65" t="s">
        <v>1042</v>
      </c>
      <c r="W7" s="58" t="s">
        <v>913</v>
      </c>
      <c r="X7" s="564" t="s">
        <v>1044</v>
      </c>
      <c r="Y7" s="573" t="s">
        <v>1026</v>
      </c>
      <c r="Z7" s="574" t="s">
        <v>1026</v>
      </c>
      <c r="AA7" s="65" t="s">
        <v>914</v>
      </c>
      <c r="AB7" s="58" t="s">
        <v>915</v>
      </c>
      <c r="AC7" s="58" t="s">
        <v>1047</v>
      </c>
      <c r="AD7" s="58" t="s">
        <v>916</v>
      </c>
      <c r="AE7" s="58" t="s">
        <v>946</v>
      </c>
      <c r="AF7" s="58" t="s">
        <v>918</v>
      </c>
      <c r="AG7" s="66"/>
      <c r="AH7" s="66"/>
      <c r="AI7" s="410" t="s">
        <v>989</v>
      </c>
      <c r="AJ7" s="410" t="s">
        <v>990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6" ht="18.75" customHeight="1">
      <c r="A8" s="581">
        <v>39510</v>
      </c>
      <c r="B8" s="532" t="s">
        <v>967</v>
      </c>
      <c r="C8" s="532" t="s">
        <v>983</v>
      </c>
      <c r="D8" s="272" t="s">
        <v>923</v>
      </c>
      <c r="E8" s="273"/>
      <c r="F8" s="273"/>
      <c r="G8" s="273" t="s">
        <v>1054</v>
      </c>
      <c r="H8" s="427">
        <f>J8+L8+N8+P8</f>
        <v>108.97</v>
      </c>
      <c r="I8" s="427">
        <f>K8+M8+O8+Q8</f>
        <v>0</v>
      </c>
      <c r="J8" s="288">
        <v>108.97</v>
      </c>
      <c r="K8" s="276"/>
      <c r="L8" s="277"/>
      <c r="M8" s="278"/>
      <c r="N8" s="391"/>
      <c r="O8" s="545"/>
      <c r="P8" s="279"/>
      <c r="Q8" s="280"/>
      <c r="R8" s="195"/>
      <c r="S8" s="195"/>
      <c r="T8" s="195"/>
      <c r="U8" s="195"/>
      <c r="V8" s="195"/>
      <c r="W8" s="195">
        <v>108.97</v>
      </c>
      <c r="X8" s="553"/>
      <c r="Y8" s="568"/>
      <c r="Z8" s="570"/>
      <c r="AA8" s="281"/>
      <c r="AB8" s="282"/>
      <c r="AC8" s="282"/>
      <c r="AD8" s="282"/>
      <c r="AE8" s="282"/>
      <c r="AF8" s="282"/>
      <c r="AI8" s="410" t="s">
        <v>991</v>
      </c>
      <c r="AJ8" s="410" t="s">
        <v>992</v>
      </c>
    </row>
    <row r="9" spans="1:32" ht="18.75" customHeight="1">
      <c r="A9" s="581">
        <v>39510</v>
      </c>
      <c r="B9" s="271" t="s">
        <v>1051</v>
      </c>
      <c r="C9" s="271" t="s">
        <v>984</v>
      </c>
      <c r="D9" s="272" t="s">
        <v>923</v>
      </c>
      <c r="E9" s="273"/>
      <c r="F9" s="273"/>
      <c r="G9" s="273" t="s">
        <v>1054</v>
      </c>
      <c r="H9" s="427">
        <f aca="true" t="shared" si="0" ref="H9:H17">J9+L9+N9+P9</f>
        <v>15.3</v>
      </c>
      <c r="I9" s="427">
        <f aca="true" t="shared" si="1" ref="I9:I17">K9+M9+O9+Q9</f>
        <v>0</v>
      </c>
      <c r="J9" s="275">
        <v>15.3</v>
      </c>
      <c r="K9" s="276"/>
      <c r="L9" s="277"/>
      <c r="M9" s="278"/>
      <c r="N9" s="391"/>
      <c r="O9" s="545"/>
      <c r="P9" s="279"/>
      <c r="Q9" s="280"/>
      <c r="R9" s="195"/>
      <c r="S9" s="195">
        <v>15.3</v>
      </c>
      <c r="T9" s="195"/>
      <c r="U9" s="195"/>
      <c r="V9" s="195"/>
      <c r="W9" s="195"/>
      <c r="X9" s="553"/>
      <c r="Y9" s="568"/>
      <c r="Z9" s="570"/>
      <c r="AA9" s="281"/>
      <c r="AB9" s="282"/>
      <c r="AC9" s="282"/>
      <c r="AD9" s="282"/>
      <c r="AE9" s="282"/>
      <c r="AF9" s="282"/>
    </row>
    <row r="10" spans="1:32" ht="18.75" customHeight="1">
      <c r="A10" s="270">
        <v>39511</v>
      </c>
      <c r="B10" s="271" t="s">
        <v>1051</v>
      </c>
      <c r="C10" s="532" t="s">
        <v>926</v>
      </c>
      <c r="D10" s="272"/>
      <c r="E10" s="293"/>
      <c r="F10" s="293"/>
      <c r="G10" s="273"/>
      <c r="H10" s="427">
        <f t="shared" si="0"/>
        <v>0</v>
      </c>
      <c r="I10" s="427">
        <f t="shared" si="1"/>
        <v>3523.99</v>
      </c>
      <c r="J10" s="275"/>
      <c r="K10" s="276">
        <v>3523.99</v>
      </c>
      <c r="L10" s="277"/>
      <c r="M10" s="278"/>
      <c r="N10" s="391"/>
      <c r="O10" s="545"/>
      <c r="P10" s="279"/>
      <c r="Q10" s="280"/>
      <c r="R10" s="195"/>
      <c r="S10" s="195"/>
      <c r="T10" s="195"/>
      <c r="U10" s="195"/>
      <c r="V10" s="195"/>
      <c r="W10" s="195"/>
      <c r="X10" s="553"/>
      <c r="Y10" s="568"/>
      <c r="Z10" s="570"/>
      <c r="AA10" s="281"/>
      <c r="AB10" s="282">
        <v>3523.99</v>
      </c>
      <c r="AC10" s="282"/>
      <c r="AD10" s="282"/>
      <c r="AE10" s="282"/>
      <c r="AF10" s="282"/>
    </row>
    <row r="11" spans="1:36" s="425" customFormat="1" ht="18.75" customHeight="1">
      <c r="A11" s="270">
        <v>39513</v>
      </c>
      <c r="B11" s="283" t="s">
        <v>1055</v>
      </c>
      <c r="C11" s="271" t="s">
        <v>1055</v>
      </c>
      <c r="D11" s="272" t="s">
        <v>923</v>
      </c>
      <c r="E11" s="273"/>
      <c r="F11" s="273"/>
      <c r="G11" s="273" t="s">
        <v>1054</v>
      </c>
      <c r="H11" s="427">
        <f t="shared" si="0"/>
        <v>31.98</v>
      </c>
      <c r="I11" s="427">
        <f t="shared" si="1"/>
        <v>0</v>
      </c>
      <c r="J11" s="288">
        <v>31.98</v>
      </c>
      <c r="K11" s="276"/>
      <c r="L11" s="277"/>
      <c r="M11" s="278"/>
      <c r="N11" s="391"/>
      <c r="O11" s="545"/>
      <c r="P11" s="279"/>
      <c r="Q11" s="280"/>
      <c r="R11" s="195"/>
      <c r="S11" s="195"/>
      <c r="T11" s="195">
        <v>31.98</v>
      </c>
      <c r="U11" s="195"/>
      <c r="V11" s="195"/>
      <c r="W11" s="195"/>
      <c r="X11" s="553"/>
      <c r="Y11" s="568"/>
      <c r="Z11" s="570"/>
      <c r="AA11" s="281"/>
      <c r="AB11" s="282"/>
      <c r="AC11" s="282"/>
      <c r="AD11" s="282"/>
      <c r="AE11" s="282"/>
      <c r="AF11" s="282"/>
      <c r="AI11" s="410" t="s">
        <v>997</v>
      </c>
      <c r="AJ11" s="410" t="s">
        <v>998</v>
      </c>
    </row>
    <row r="12" spans="1:36" ht="18.75" customHeight="1">
      <c r="A12" s="270">
        <v>39517</v>
      </c>
      <c r="B12" s="289" t="s">
        <v>1055</v>
      </c>
      <c r="C12" s="271" t="s">
        <v>1055</v>
      </c>
      <c r="D12" s="272" t="s">
        <v>923</v>
      </c>
      <c r="E12" s="273"/>
      <c r="F12" s="273"/>
      <c r="G12" s="273" t="s">
        <v>1054</v>
      </c>
      <c r="H12" s="427">
        <f t="shared" si="0"/>
        <v>1.85</v>
      </c>
      <c r="I12" s="427">
        <f t="shared" si="1"/>
        <v>0</v>
      </c>
      <c r="J12" s="275">
        <v>1.85</v>
      </c>
      <c r="K12" s="276"/>
      <c r="L12" s="277"/>
      <c r="M12" s="278"/>
      <c r="N12" s="391"/>
      <c r="O12" s="545"/>
      <c r="P12" s="279"/>
      <c r="Q12" s="280"/>
      <c r="R12" s="195"/>
      <c r="S12" s="195"/>
      <c r="T12" s="195">
        <v>1.85</v>
      </c>
      <c r="U12" s="195"/>
      <c r="V12" s="195"/>
      <c r="W12" s="195"/>
      <c r="X12" s="553"/>
      <c r="Y12" s="568"/>
      <c r="Z12" s="570"/>
      <c r="AA12" s="281"/>
      <c r="AB12" s="282"/>
      <c r="AC12" s="282"/>
      <c r="AD12" s="282"/>
      <c r="AE12" s="282"/>
      <c r="AF12" s="282"/>
      <c r="AI12" s="410" t="s">
        <v>999</v>
      </c>
      <c r="AJ12" s="410" t="s">
        <v>1000</v>
      </c>
    </row>
    <row r="13" spans="1:36" ht="18.75" customHeight="1">
      <c r="A13" s="581">
        <v>39518</v>
      </c>
      <c r="B13" s="599" t="s">
        <v>985</v>
      </c>
      <c r="C13" s="527" t="s">
        <v>1056</v>
      </c>
      <c r="D13" s="272" t="s">
        <v>923</v>
      </c>
      <c r="E13" s="273"/>
      <c r="F13" s="273"/>
      <c r="G13" s="273" t="s">
        <v>1054</v>
      </c>
      <c r="H13" s="427">
        <f t="shared" si="0"/>
        <v>584.64</v>
      </c>
      <c r="I13" s="427">
        <f t="shared" si="1"/>
        <v>0</v>
      </c>
      <c r="J13" s="288">
        <v>584.64</v>
      </c>
      <c r="K13" s="276"/>
      <c r="L13" s="277"/>
      <c r="M13" s="278"/>
      <c r="N13" s="391"/>
      <c r="O13" s="545"/>
      <c r="P13" s="279"/>
      <c r="Q13" s="280"/>
      <c r="R13" s="195"/>
      <c r="S13" s="195"/>
      <c r="T13" s="195"/>
      <c r="U13" s="195">
        <v>584.64</v>
      </c>
      <c r="V13" s="195"/>
      <c r="W13" s="195"/>
      <c r="X13" s="553"/>
      <c r="Y13" s="568"/>
      <c r="Z13" s="570"/>
      <c r="AA13" s="281"/>
      <c r="AB13" s="282"/>
      <c r="AC13" s="282"/>
      <c r="AD13" s="282"/>
      <c r="AE13" s="282"/>
      <c r="AF13" s="282"/>
      <c r="AI13" s="410" t="s">
        <v>1001</v>
      </c>
      <c r="AJ13" s="410" t="s">
        <v>1002</v>
      </c>
    </row>
    <row r="14" spans="1:36" s="425" customFormat="1" ht="18.75" customHeight="1">
      <c r="A14" s="581">
        <v>39523</v>
      </c>
      <c r="B14" s="582" t="s">
        <v>986</v>
      </c>
      <c r="C14" s="532" t="s">
        <v>800</v>
      </c>
      <c r="D14" s="272" t="s">
        <v>801</v>
      </c>
      <c r="E14" s="273" t="s">
        <v>1054</v>
      </c>
      <c r="F14" s="273"/>
      <c r="G14" s="273"/>
      <c r="H14" s="427">
        <f t="shared" si="0"/>
        <v>124.75</v>
      </c>
      <c r="I14" s="427">
        <f t="shared" si="1"/>
        <v>0</v>
      </c>
      <c r="J14" s="288">
        <v>124.75</v>
      </c>
      <c r="K14" s="276"/>
      <c r="L14" s="277"/>
      <c r="M14" s="278"/>
      <c r="N14" s="391"/>
      <c r="O14" s="545"/>
      <c r="P14" s="279"/>
      <c r="Q14" s="280"/>
      <c r="R14" s="195"/>
      <c r="S14" s="195"/>
      <c r="T14" s="195">
        <v>20.85</v>
      </c>
      <c r="U14" s="798"/>
      <c r="V14" s="195"/>
      <c r="W14" s="195"/>
      <c r="X14" s="553">
        <v>103.9</v>
      </c>
      <c r="Y14" s="568"/>
      <c r="Z14" s="570"/>
      <c r="AA14" s="281"/>
      <c r="AB14" s="282"/>
      <c r="AC14" s="282"/>
      <c r="AD14" s="282"/>
      <c r="AE14" s="282"/>
      <c r="AF14" s="282"/>
      <c r="AI14" s="410"/>
      <c r="AJ14" s="410" t="s">
        <v>1003</v>
      </c>
    </row>
    <row r="15" spans="1:36" s="425" customFormat="1" ht="18.75" customHeight="1">
      <c r="A15" s="581">
        <v>39526</v>
      </c>
      <c r="B15" s="583" t="s">
        <v>802</v>
      </c>
      <c r="C15" s="532" t="s">
        <v>803</v>
      </c>
      <c r="D15" s="287" t="s">
        <v>801</v>
      </c>
      <c r="E15" s="293" t="s">
        <v>1054</v>
      </c>
      <c r="F15" s="293"/>
      <c r="G15" s="273"/>
      <c r="H15" s="427">
        <f t="shared" si="0"/>
        <v>504</v>
      </c>
      <c r="I15" s="427">
        <f t="shared" si="1"/>
        <v>0</v>
      </c>
      <c r="J15" s="275">
        <v>504</v>
      </c>
      <c r="K15" s="276"/>
      <c r="L15" s="277"/>
      <c r="M15" s="278"/>
      <c r="N15" s="391"/>
      <c r="O15" s="545"/>
      <c r="P15" s="279"/>
      <c r="Q15" s="280"/>
      <c r="R15" s="195"/>
      <c r="S15" s="195"/>
      <c r="T15" s="195"/>
      <c r="U15" s="195"/>
      <c r="V15" s="195"/>
      <c r="W15" s="195">
        <v>504</v>
      </c>
      <c r="X15" s="553"/>
      <c r="Y15" s="568"/>
      <c r="Z15" s="570"/>
      <c r="AA15" s="281"/>
      <c r="AB15" s="282"/>
      <c r="AC15" s="282"/>
      <c r="AD15" s="282"/>
      <c r="AE15" s="282"/>
      <c r="AF15" s="282"/>
      <c r="AI15" s="410"/>
      <c r="AJ15" s="410"/>
    </row>
    <row r="16" spans="1:36" s="425" customFormat="1" ht="18.75" customHeight="1">
      <c r="A16" s="581">
        <v>39531</v>
      </c>
      <c r="B16" s="583" t="s">
        <v>804</v>
      </c>
      <c r="C16" s="532" t="s">
        <v>805</v>
      </c>
      <c r="D16" s="287" t="s">
        <v>806</v>
      </c>
      <c r="E16" s="293" t="s">
        <v>1054</v>
      </c>
      <c r="F16" s="293"/>
      <c r="G16" s="273"/>
      <c r="H16" s="427">
        <f t="shared" si="0"/>
        <v>305.17</v>
      </c>
      <c r="I16" s="427"/>
      <c r="J16" s="275">
        <v>305.17</v>
      </c>
      <c r="K16" s="276"/>
      <c r="L16" s="277"/>
      <c r="M16" s="278"/>
      <c r="N16" s="649"/>
      <c r="O16" s="688"/>
      <c r="P16" s="279"/>
      <c r="Q16" s="280"/>
      <c r="R16" s="195"/>
      <c r="S16" s="195"/>
      <c r="T16" s="195"/>
      <c r="U16" s="195"/>
      <c r="V16" s="195">
        <v>305.17</v>
      </c>
      <c r="W16" s="195"/>
      <c r="X16" s="553"/>
      <c r="Y16" s="657"/>
      <c r="Z16" s="744"/>
      <c r="AA16" s="281"/>
      <c r="AB16" s="282"/>
      <c r="AC16" s="282"/>
      <c r="AD16" s="282"/>
      <c r="AE16" s="282"/>
      <c r="AF16" s="282"/>
      <c r="AI16" s="410"/>
      <c r="AJ16" s="681"/>
    </row>
    <row r="17" spans="1:35" s="425" customFormat="1" ht="18.75" customHeight="1" thickBot="1">
      <c r="A17" s="581">
        <v>39537</v>
      </c>
      <c r="B17" s="583" t="s">
        <v>986</v>
      </c>
      <c r="C17" s="532" t="s">
        <v>807</v>
      </c>
      <c r="D17" s="287" t="s">
        <v>808</v>
      </c>
      <c r="E17" s="293" t="s">
        <v>1054</v>
      </c>
      <c r="F17" s="293"/>
      <c r="G17" s="273"/>
      <c r="H17" s="427">
        <f t="shared" si="0"/>
        <v>158.45</v>
      </c>
      <c r="I17" s="427">
        <f t="shared" si="1"/>
        <v>0</v>
      </c>
      <c r="J17" s="288">
        <v>158.45</v>
      </c>
      <c r="K17" s="276"/>
      <c r="L17" s="277"/>
      <c r="M17" s="278"/>
      <c r="N17" s="524"/>
      <c r="O17" s="546"/>
      <c r="P17" s="279"/>
      <c r="Q17" s="280"/>
      <c r="R17" s="195"/>
      <c r="S17" s="195"/>
      <c r="T17" s="195"/>
      <c r="U17" s="195"/>
      <c r="V17" s="195"/>
      <c r="W17" s="195"/>
      <c r="X17" s="553">
        <v>158.45</v>
      </c>
      <c r="Y17" s="571"/>
      <c r="Z17" s="578"/>
      <c r="AA17" s="281"/>
      <c r="AB17" s="282"/>
      <c r="AC17" s="282"/>
      <c r="AD17" s="282"/>
      <c r="AE17" s="282"/>
      <c r="AF17" s="282"/>
      <c r="AI17" s="410"/>
    </row>
    <row r="18" spans="1:32" ht="18.75" customHeight="1" thickBot="1">
      <c r="A18" s="433"/>
      <c r="B18" s="434"/>
      <c r="C18" s="435" t="s">
        <v>809</v>
      </c>
      <c r="D18" s="436"/>
      <c r="E18" s="437"/>
      <c r="F18" s="437"/>
      <c r="G18" s="437"/>
      <c r="H18" s="438">
        <f aca="true" t="shared" si="2" ref="H18:AF18">SUM(H8:H17)</f>
        <v>1835.1100000000001</v>
      </c>
      <c r="I18" s="439">
        <f t="shared" si="2"/>
        <v>3523.99</v>
      </c>
      <c r="J18" s="440">
        <f t="shared" si="2"/>
        <v>1835.1100000000001</v>
      </c>
      <c r="K18" s="440">
        <f t="shared" si="2"/>
        <v>3523.99</v>
      </c>
      <c r="L18" s="440">
        <f t="shared" si="2"/>
        <v>0</v>
      </c>
      <c r="M18" s="440">
        <f t="shared" si="2"/>
        <v>0</v>
      </c>
      <c r="N18" s="440">
        <f t="shared" si="2"/>
        <v>0</v>
      </c>
      <c r="O18" s="440">
        <f t="shared" si="2"/>
        <v>0</v>
      </c>
      <c r="P18" s="440">
        <f t="shared" si="2"/>
        <v>0</v>
      </c>
      <c r="Q18" s="440">
        <f t="shared" si="2"/>
        <v>0</v>
      </c>
      <c r="R18" s="440">
        <f t="shared" si="2"/>
        <v>0</v>
      </c>
      <c r="S18" s="440">
        <f t="shared" si="2"/>
        <v>15.3</v>
      </c>
      <c r="T18" s="440">
        <f t="shared" si="2"/>
        <v>54.68</v>
      </c>
      <c r="U18" s="440">
        <f t="shared" si="2"/>
        <v>584.64</v>
      </c>
      <c r="V18" s="440">
        <f t="shared" si="2"/>
        <v>305.17</v>
      </c>
      <c r="W18" s="440">
        <f t="shared" si="2"/>
        <v>612.97</v>
      </c>
      <c r="X18" s="440">
        <f t="shared" si="2"/>
        <v>262.35</v>
      </c>
      <c r="Y18" s="440">
        <f t="shared" si="2"/>
        <v>0</v>
      </c>
      <c r="Z18" s="440">
        <f t="shared" si="2"/>
        <v>0</v>
      </c>
      <c r="AA18" s="440">
        <f t="shared" si="2"/>
        <v>0</v>
      </c>
      <c r="AB18" s="440">
        <f t="shared" si="2"/>
        <v>3523.99</v>
      </c>
      <c r="AC18" s="440">
        <f t="shared" si="2"/>
        <v>0</v>
      </c>
      <c r="AD18" s="440">
        <f t="shared" si="2"/>
        <v>0</v>
      </c>
      <c r="AE18" s="440">
        <f t="shared" si="2"/>
        <v>0</v>
      </c>
      <c r="AF18" s="440">
        <f t="shared" si="2"/>
        <v>0</v>
      </c>
    </row>
    <row r="19" spans="2:32" ht="12">
      <c r="B19" s="441"/>
      <c r="C19" s="441"/>
      <c r="D19" s="442"/>
      <c r="E19" s="422"/>
      <c r="F19" s="422"/>
      <c r="G19" s="422"/>
      <c r="H19" s="443"/>
      <c r="I19" s="443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</row>
    <row r="20" spans="2:32" s="445" customFormat="1" ht="18.75" customHeight="1" thickBot="1">
      <c r="B20" s="446"/>
      <c r="C20" s="446"/>
      <c r="D20" s="407"/>
      <c r="E20" s="397"/>
      <c r="F20" s="397"/>
      <c r="G20" s="447" t="s">
        <v>1066</v>
      </c>
      <c r="H20" s="448">
        <f>(J18+L18+N18+P18)-Y18</f>
        <v>1835.1100000000001</v>
      </c>
      <c r="J20" s="449"/>
      <c r="K20" s="400"/>
      <c r="N20" s="449" t="s">
        <v>1067</v>
      </c>
      <c r="O20" s="450">
        <f>(K18+M18+O18+Q18)-Z18</f>
        <v>3523.99</v>
      </c>
      <c r="Q20" s="451"/>
      <c r="T20" s="449" t="s">
        <v>1068</v>
      </c>
      <c r="U20" s="549">
        <f>(R18+S18+T18+U18+V18+W18+X18)</f>
        <v>1835.1100000000001</v>
      </c>
      <c r="V20" s="453"/>
      <c r="W20" s="453"/>
      <c r="X20" s="453"/>
      <c r="Y20" s="454"/>
      <c r="AA20" s="455"/>
      <c r="AC20" s="447" t="s">
        <v>810</v>
      </c>
      <c r="AD20" s="550">
        <f>(AA18+AB18+AC18+AD18+AE18+AF18)</f>
        <v>3523.99</v>
      </c>
      <c r="AE20" s="453"/>
      <c r="AF20" s="453"/>
    </row>
    <row r="21" spans="2:32" s="457" customFormat="1" ht="18.75" customHeight="1" thickBot="1">
      <c r="B21" s="458"/>
      <c r="C21" s="459" t="s">
        <v>811</v>
      </c>
      <c r="D21" s="460"/>
      <c r="E21" s="397"/>
      <c r="F21" s="397"/>
      <c r="G21" s="461"/>
      <c r="H21" s="462">
        <f aca="true" t="shared" si="3" ref="H21:AF21">SUM(H3+H18)</f>
        <v>20496.69</v>
      </c>
      <c r="I21" s="463">
        <f t="shared" si="3"/>
        <v>28017.620000000003</v>
      </c>
      <c r="J21" s="464">
        <f t="shared" si="3"/>
        <v>20496.69</v>
      </c>
      <c r="K21" s="464">
        <f t="shared" si="3"/>
        <v>29860.35</v>
      </c>
      <c r="L21" s="464">
        <f t="shared" si="3"/>
        <v>0</v>
      </c>
      <c r="M21" s="464">
        <f t="shared" si="3"/>
        <v>63232.73</v>
      </c>
      <c r="N21" s="464">
        <f t="shared" si="3"/>
        <v>0</v>
      </c>
      <c r="O21" s="464">
        <f t="shared" si="3"/>
        <v>77741.76</v>
      </c>
      <c r="P21" s="464">
        <f t="shared" si="3"/>
        <v>0</v>
      </c>
      <c r="Q21" s="464">
        <f t="shared" si="3"/>
        <v>115.16</v>
      </c>
      <c r="R21" s="464">
        <f t="shared" si="3"/>
        <v>132.72000000000003</v>
      </c>
      <c r="S21" s="464">
        <f t="shared" si="3"/>
        <v>76.5</v>
      </c>
      <c r="T21" s="464">
        <f t="shared" si="3"/>
        <v>1580.3</v>
      </c>
      <c r="U21" s="464">
        <f t="shared" si="3"/>
        <v>2695.21</v>
      </c>
      <c r="V21" s="464">
        <f t="shared" si="3"/>
        <v>2318.5099999999998</v>
      </c>
      <c r="W21" s="464">
        <f t="shared" si="3"/>
        <v>704.3100000000001</v>
      </c>
      <c r="X21" s="464">
        <f t="shared" si="3"/>
        <v>989.14</v>
      </c>
      <c r="Y21" s="464">
        <f t="shared" si="3"/>
        <v>12000</v>
      </c>
      <c r="Z21" s="464">
        <f t="shared" si="3"/>
        <v>12000</v>
      </c>
      <c r="AA21" s="464">
        <f t="shared" si="3"/>
        <v>0</v>
      </c>
      <c r="AB21" s="464">
        <f t="shared" si="3"/>
        <v>14751.48</v>
      </c>
      <c r="AC21" s="464">
        <f t="shared" si="3"/>
        <v>0</v>
      </c>
      <c r="AD21" s="464">
        <f t="shared" si="3"/>
        <v>0</v>
      </c>
      <c r="AE21" s="464">
        <f t="shared" si="3"/>
        <v>1237.54</v>
      </c>
      <c r="AF21" s="464">
        <f t="shared" si="3"/>
        <v>28.6</v>
      </c>
    </row>
    <row r="22" spans="2:32" s="457" customFormat="1" ht="12.75" thickBot="1">
      <c r="B22" s="458"/>
      <c r="C22" s="458"/>
      <c r="D22" s="460"/>
      <c r="E22" s="397"/>
      <c r="F22" s="397"/>
      <c r="G22" s="461"/>
      <c r="H22" s="465"/>
      <c r="I22" s="466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</row>
    <row r="23" spans="2:32" s="445" customFormat="1" ht="18.75" customHeight="1" thickBot="1">
      <c r="B23" s="458"/>
      <c r="C23" s="468"/>
      <c r="D23" s="407"/>
      <c r="E23" s="397"/>
      <c r="F23" s="397"/>
      <c r="G23" s="447" t="s">
        <v>887</v>
      </c>
      <c r="H23" s="469">
        <f>(J21+L21+P21)-Y21</f>
        <v>8496.689999999999</v>
      </c>
      <c r="J23" s="449"/>
      <c r="K23" s="400"/>
      <c r="M23" s="449" t="s">
        <v>812</v>
      </c>
      <c r="N23" s="449"/>
      <c r="O23" s="449"/>
      <c r="P23" s="450">
        <f>(K21+M21+O21+Q21)-Y21</f>
        <v>158950</v>
      </c>
      <c r="Q23" s="451"/>
      <c r="T23" s="449" t="s">
        <v>887</v>
      </c>
      <c r="U23" s="452">
        <f>(R21+S21+T21+U21+V21+W21+X21)</f>
        <v>8496.69</v>
      </c>
      <c r="V23" s="453"/>
      <c r="W23" s="453"/>
      <c r="X23" s="453"/>
      <c r="Y23" s="470"/>
      <c r="AA23" s="455"/>
      <c r="AB23" s="447" t="s">
        <v>813</v>
      </c>
      <c r="AC23" s="456">
        <f>(AA21+AB21+AC21+AD21+AE21+AF21)</f>
        <v>16017.62</v>
      </c>
      <c r="AD23" s="453"/>
      <c r="AE23" s="453"/>
      <c r="AF23" s="453"/>
    </row>
    <row r="24" spans="2:28" ht="18.75" customHeight="1" thickBot="1">
      <c r="B24" s="458"/>
      <c r="C24" s="471" t="s">
        <v>976</v>
      </c>
      <c r="D24" s="472" t="s">
        <v>1071</v>
      </c>
      <c r="E24" s="473"/>
      <c r="F24" s="473"/>
      <c r="G24" s="473"/>
      <c r="H24" s="474">
        <f>Fév15!H26</f>
        <v>7674.7800000000025</v>
      </c>
      <c r="I24" s="475"/>
      <c r="J24" s="476" t="s">
        <v>1072</v>
      </c>
      <c r="K24" s="474">
        <f>Fév15!K26</f>
        <v>63232.73</v>
      </c>
      <c r="L24" s="477"/>
      <c r="M24" s="343" t="s">
        <v>1073</v>
      </c>
      <c r="N24" s="601">
        <f>Fév15!N26</f>
        <v>77741.76</v>
      </c>
      <c r="O24" s="477"/>
      <c r="P24" s="478" t="s">
        <v>981</v>
      </c>
      <c r="Q24" s="474">
        <f>Fév15!Q26</f>
        <v>115.16</v>
      </c>
      <c r="AB24" s="479"/>
    </row>
    <row r="25" spans="2:28" s="480" customFormat="1" ht="12.75" thickBot="1">
      <c r="B25" s="425"/>
      <c r="C25" s="481" t="s">
        <v>894</v>
      </c>
      <c r="D25" s="482"/>
      <c r="E25" s="397"/>
      <c r="F25" s="397"/>
      <c r="G25" s="397"/>
      <c r="H25" s="483"/>
      <c r="I25" s="484"/>
      <c r="J25" s="483"/>
      <c r="K25" s="483"/>
      <c r="L25" s="484"/>
      <c r="M25" s="484"/>
      <c r="N25" s="484"/>
      <c r="O25" s="484"/>
      <c r="P25" s="483"/>
      <c r="Q25" s="400"/>
      <c r="R25" s="485"/>
      <c r="S25" s="476" t="s">
        <v>1074</v>
      </c>
      <c r="T25" s="486"/>
      <c r="U25" s="487"/>
      <c r="V25" s="487"/>
      <c r="W25" s="487"/>
      <c r="X25" s="476" t="s">
        <v>1075</v>
      </c>
      <c r="Y25" s="488"/>
      <c r="Z25" s="486"/>
      <c r="AB25" s="405"/>
    </row>
    <row r="26" spans="2:28" ht="18.75" customHeight="1" thickBot="1" thickTop="1">
      <c r="B26" s="489"/>
      <c r="C26" s="490" t="s">
        <v>814</v>
      </c>
      <c r="D26" s="491" t="s">
        <v>1071</v>
      </c>
      <c r="E26" s="492"/>
      <c r="F26" s="492"/>
      <c r="G26" s="492"/>
      <c r="H26" s="493">
        <f>SUM(H24+K18)-(J18)</f>
        <v>9363.660000000002</v>
      </c>
      <c r="I26" s="494"/>
      <c r="J26" s="495" t="s">
        <v>1072</v>
      </c>
      <c r="K26" s="493">
        <f>K24+M18-L18</f>
        <v>63232.73</v>
      </c>
      <c r="M26" s="343" t="s">
        <v>1073</v>
      </c>
      <c r="N26" s="602">
        <f>N24+O18-N18</f>
        <v>77741.76</v>
      </c>
      <c r="P26" s="495" t="s">
        <v>981</v>
      </c>
      <c r="Q26" s="493">
        <f>SUM(Q24+Q18)-(P18)</f>
        <v>115.16</v>
      </c>
      <c r="R26" s="496"/>
      <c r="S26" s="495" t="s">
        <v>1077</v>
      </c>
      <c r="T26" s="497"/>
      <c r="X26" s="495" t="s">
        <v>898</v>
      </c>
      <c r="Y26" s="498"/>
      <c r="Z26" s="497"/>
      <c r="AB26" s="499"/>
    </row>
    <row r="27" spans="2:28" ht="18.75" customHeight="1" thickTop="1">
      <c r="B27" s="489"/>
      <c r="C27" s="489"/>
      <c r="D27" s="538"/>
      <c r="E27" s="422"/>
      <c r="F27" s="422"/>
      <c r="G27" s="422"/>
      <c r="H27" s="539"/>
      <c r="I27" s="494"/>
      <c r="J27" s="496"/>
      <c r="K27" s="539"/>
      <c r="M27" s="353"/>
      <c r="N27" s="603"/>
      <c r="P27" s="496"/>
      <c r="Q27" s="539"/>
      <c r="R27" s="496"/>
      <c r="S27" s="496"/>
      <c r="T27" s="540"/>
      <c r="X27" s="496"/>
      <c r="Y27" s="498"/>
      <c r="Z27" s="540"/>
      <c r="AB27" s="499"/>
    </row>
    <row r="28" spans="2:28" s="457" customFormat="1" ht="12">
      <c r="B28" s="446" t="s">
        <v>899</v>
      </c>
      <c r="C28" s="500"/>
      <c r="D28" s="501" t="s">
        <v>900</v>
      </c>
      <c r="E28" s="502"/>
      <c r="F28" s="502"/>
      <c r="G28" s="502"/>
      <c r="H28" s="503"/>
      <c r="I28" s="501" t="s">
        <v>901</v>
      </c>
      <c r="J28" s="503"/>
      <c r="K28" s="503"/>
      <c r="L28" s="501" t="s">
        <v>902</v>
      </c>
      <c r="M28" s="501"/>
      <c r="N28" s="501"/>
      <c r="O28" s="501"/>
      <c r="P28" s="503"/>
      <c r="Q28" s="503"/>
      <c r="R28" s="501" t="s">
        <v>903</v>
      </c>
      <c r="S28" s="400"/>
      <c r="T28" s="501" t="s">
        <v>900</v>
      </c>
      <c r="U28" s="400"/>
      <c r="V28" s="400"/>
      <c r="W28" s="400"/>
      <c r="X28" s="501" t="s">
        <v>901</v>
      </c>
      <c r="Y28" s="504"/>
      <c r="Z28" s="503"/>
      <c r="AB28" s="505"/>
    </row>
    <row r="29" spans="2:28" s="457" customFormat="1" ht="12">
      <c r="B29" s="446"/>
      <c r="C29" s="500"/>
      <c r="D29" s="501"/>
      <c r="E29" s="502"/>
      <c r="F29" s="502"/>
      <c r="G29" s="502"/>
      <c r="H29" s="503"/>
      <c r="I29" s="501"/>
      <c r="J29" s="503"/>
      <c r="K29" s="503"/>
      <c r="L29" s="501"/>
      <c r="M29" s="501"/>
      <c r="N29" s="501"/>
      <c r="O29" s="501"/>
      <c r="P29" s="503"/>
      <c r="Q29" s="503"/>
      <c r="R29" s="501"/>
      <c r="S29" s="400"/>
      <c r="T29" s="501"/>
      <c r="U29" s="400"/>
      <c r="V29" s="400"/>
      <c r="W29" s="400"/>
      <c r="X29" s="501"/>
      <c r="Y29" s="504"/>
      <c r="Z29" s="503"/>
      <c r="AB29" s="505"/>
    </row>
    <row r="30" spans="2:28" s="506" customFormat="1" ht="12">
      <c r="B30" s="533" t="s">
        <v>904</v>
      </c>
      <c r="C30" s="507"/>
      <c r="D30" s="506" t="s">
        <v>905</v>
      </c>
      <c r="E30" s="508"/>
      <c r="F30" s="508"/>
      <c r="H30" s="509"/>
      <c r="I30" s="510"/>
      <c r="J30" s="511"/>
      <c r="K30" s="511"/>
      <c r="L30" s="510"/>
      <c r="M30" s="510"/>
      <c r="N30" s="510"/>
      <c r="O30" s="510"/>
      <c r="P30" s="511"/>
      <c r="Q30" s="511"/>
      <c r="R30" s="510" t="s">
        <v>904</v>
      </c>
      <c r="S30" s="400"/>
      <c r="T30" s="511" t="s">
        <v>905</v>
      </c>
      <c r="U30" s="400"/>
      <c r="V30" s="400"/>
      <c r="W30" s="400"/>
      <c r="X30" s="510"/>
      <c r="Y30" s="512"/>
      <c r="Z30" s="509"/>
      <c r="AB30" s="513"/>
    </row>
    <row r="31" spans="2:28" s="506" customFormat="1" ht="45.75" customHeight="1">
      <c r="B31" s="533"/>
      <c r="C31" s="507"/>
      <c r="E31" s="508"/>
      <c r="F31" s="508"/>
      <c r="H31" s="509"/>
      <c r="I31" s="510"/>
      <c r="J31" s="511"/>
      <c r="K31" s="511"/>
      <c r="L31" s="510"/>
      <c r="M31" s="510"/>
      <c r="N31" s="510"/>
      <c r="O31" s="510"/>
      <c r="P31" s="511"/>
      <c r="Q31" s="511"/>
      <c r="R31" s="510"/>
      <c r="S31" s="400"/>
      <c r="T31" s="511"/>
      <c r="U31" s="400"/>
      <c r="V31" s="400"/>
      <c r="W31" s="400"/>
      <c r="X31" s="510"/>
      <c r="Y31" s="512"/>
      <c r="Z31" s="509"/>
      <c r="AB31" s="513"/>
    </row>
    <row r="32" spans="3:28" ht="18.75" customHeight="1">
      <c r="C32" s="514" t="s">
        <v>906</v>
      </c>
      <c r="D32" s="515"/>
      <c r="E32" s="516"/>
      <c r="F32" s="516"/>
      <c r="G32" s="517"/>
      <c r="H32" s="518">
        <f>H26+K26+N26+Q26</f>
        <v>150453.31</v>
      </c>
      <c r="AB32" s="519"/>
    </row>
    <row r="33" ht="12">
      <c r="J33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42"/>
  <sheetViews>
    <sheetView zoomScalePageLayoutView="0" workbookViewId="0" topLeftCell="A1">
      <pane ySplit="7" topLeftCell="A8" activePane="bottomLeft" state="frozen"/>
      <selection pane="topLeft" activeCell="C1" sqref="C1"/>
      <selection pane="bottomLeft" activeCell="X28" sqref="X28"/>
    </sheetView>
  </sheetViews>
  <sheetFormatPr defaultColWidth="11.7109375" defaultRowHeight="12.75"/>
  <cols>
    <col min="1" max="1" width="9.7109375" style="407" customWidth="1"/>
    <col min="2" max="2" width="17.28125" style="398" customWidth="1"/>
    <col min="3" max="3" width="30.7109375" style="520" customWidth="1"/>
    <col min="4" max="4" width="12.00390625" style="403" customWidth="1"/>
    <col min="5" max="7" width="4.140625" style="397" customWidth="1"/>
    <col min="8" max="8" width="12.28125" style="401" customWidth="1"/>
    <col min="9" max="9" width="12.8515625" style="401" customWidth="1"/>
    <col min="10" max="10" width="11.7109375" style="400" customWidth="1"/>
    <col min="11" max="11" width="12.421875" style="400" customWidth="1"/>
    <col min="12" max="12" width="10.140625" style="400" customWidth="1"/>
    <col min="13" max="13" width="11.421875" style="400" customWidth="1"/>
    <col min="14" max="14" width="10.28125" style="400" customWidth="1"/>
    <col min="15" max="15" width="11.8515625" style="400" customWidth="1"/>
    <col min="16" max="16" width="11.140625" style="400" customWidth="1"/>
    <col min="17" max="17" width="11.00390625" style="400" customWidth="1"/>
    <col min="18" max="18" width="12.00390625" style="400" customWidth="1"/>
    <col min="19" max="19" width="11.421875" style="400" customWidth="1"/>
    <col min="20" max="20" width="12.421875" style="400" customWidth="1"/>
    <col min="21" max="21" width="11.00390625" style="400" customWidth="1"/>
    <col min="22" max="22" width="10.421875" style="400" customWidth="1"/>
    <col min="23" max="24" width="10.28125" style="400" customWidth="1"/>
    <col min="25" max="25" width="12.00390625" style="409" customWidth="1"/>
    <col min="26" max="26" width="11.421875" style="400" customWidth="1"/>
    <col min="27" max="27" width="9.7109375" style="407" customWidth="1"/>
    <col min="28" max="28" width="12.140625" style="522" customWidth="1"/>
    <col min="29" max="29" width="12.28125" style="407" customWidth="1"/>
    <col min="30" max="30" width="10.140625" style="407" customWidth="1"/>
    <col min="31" max="31" width="11.00390625" style="407" customWidth="1"/>
    <col min="32" max="32" width="10.421875" style="407" customWidth="1"/>
    <col min="33" max="16384" width="11.7109375" style="407" customWidth="1"/>
  </cols>
  <sheetData>
    <row r="1" spans="2:36" s="397" customFormat="1" ht="16.5" customHeight="1">
      <c r="B1" s="398"/>
      <c r="C1" s="55" t="s">
        <v>942</v>
      </c>
      <c r="D1" s="399"/>
      <c r="H1" s="400" t="s">
        <v>1016</v>
      </c>
      <c r="I1" s="401"/>
      <c r="J1" s="402" t="s">
        <v>815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816</v>
      </c>
      <c r="AB1" s="405"/>
      <c r="AI1" s="406" t="s">
        <v>969</v>
      </c>
      <c r="AJ1" s="406" t="s">
        <v>970</v>
      </c>
    </row>
    <row r="2" spans="2:36" ht="12" customHeight="1" thickBot="1">
      <c r="B2" s="407"/>
      <c r="C2" s="408"/>
      <c r="D2" s="407"/>
      <c r="H2" s="400"/>
      <c r="I2" s="400"/>
      <c r="AB2" s="405"/>
      <c r="AI2" s="410" t="s">
        <v>971</v>
      </c>
      <c r="AJ2" s="411" t="s">
        <v>972</v>
      </c>
    </row>
    <row r="3" spans="3:36" s="412" customFormat="1" ht="18.75" customHeight="1" thickBot="1">
      <c r="C3" s="413"/>
      <c r="D3" s="414"/>
      <c r="E3" s="832" t="s">
        <v>1018</v>
      </c>
      <c r="F3" s="833"/>
      <c r="G3" s="834"/>
      <c r="H3" s="415">
        <f>Mars15!H21</f>
        <v>20496.69</v>
      </c>
      <c r="I3" s="415">
        <f>Mars15!I21</f>
        <v>28017.620000000003</v>
      </c>
      <c r="J3" s="415">
        <f>Mars15!J21</f>
        <v>20496.69</v>
      </c>
      <c r="K3" s="415">
        <f>Mars15!K21</f>
        <v>29860.35</v>
      </c>
      <c r="L3" s="415">
        <f>Mars15!L21</f>
        <v>0</v>
      </c>
      <c r="M3" s="415">
        <f>Mars15!M21</f>
        <v>63232.73</v>
      </c>
      <c r="N3" s="415">
        <f>Mars15!N21</f>
        <v>0</v>
      </c>
      <c r="O3" s="415">
        <f>Mars15!O21</f>
        <v>77741.76</v>
      </c>
      <c r="P3" s="415">
        <f>Mars15!P21</f>
        <v>0</v>
      </c>
      <c r="Q3" s="415">
        <f>Mars15!Q21</f>
        <v>115.16</v>
      </c>
      <c r="R3" s="415">
        <f>Mars15!R21</f>
        <v>132.72000000000003</v>
      </c>
      <c r="S3" s="415">
        <f>Mars15!S21</f>
        <v>76.5</v>
      </c>
      <c r="T3" s="415">
        <f>Mars15!T21</f>
        <v>1580.3</v>
      </c>
      <c r="U3" s="415">
        <f>Mars15!U21</f>
        <v>2695.21</v>
      </c>
      <c r="V3" s="415">
        <f>Mars15!V21</f>
        <v>2318.5099999999998</v>
      </c>
      <c r="W3" s="415">
        <f>Mars15!W21</f>
        <v>704.3100000000001</v>
      </c>
      <c r="X3" s="415">
        <f>Mars15!X21</f>
        <v>989.14</v>
      </c>
      <c r="Y3" s="415">
        <f>Mars15!Y21</f>
        <v>12000</v>
      </c>
      <c r="Z3" s="415">
        <f>Mars15!Z21</f>
        <v>12000</v>
      </c>
      <c r="AA3" s="415">
        <f>Mars15!AA21</f>
        <v>0</v>
      </c>
      <c r="AB3" s="415">
        <f>Mars15!AB21</f>
        <v>14751.48</v>
      </c>
      <c r="AC3" s="415">
        <f>Mars15!AC21</f>
        <v>0</v>
      </c>
      <c r="AD3" s="415">
        <f>Mars15!AD21</f>
        <v>0</v>
      </c>
      <c r="AE3" s="415">
        <f>Mars15!AE21</f>
        <v>1237.54</v>
      </c>
      <c r="AF3" s="415">
        <f>Mars15!AF21</f>
        <v>28.6</v>
      </c>
      <c r="AI3" s="410" t="s">
        <v>973</v>
      </c>
      <c r="AJ3" s="410" t="s">
        <v>974</v>
      </c>
    </row>
    <row r="4" spans="2:36" s="412" customFormat="1" ht="14.25" customHeight="1" thickBot="1"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63">
        <v>58</v>
      </c>
      <c r="Z4" s="864"/>
      <c r="AA4" s="857" t="s">
        <v>1021</v>
      </c>
      <c r="AB4" s="838"/>
      <c r="AC4" s="838"/>
      <c r="AD4" s="838"/>
      <c r="AE4" s="838"/>
      <c r="AF4" s="839"/>
      <c r="AI4" s="410" t="s">
        <v>979</v>
      </c>
      <c r="AJ4" s="410" t="s">
        <v>980</v>
      </c>
    </row>
    <row r="5" spans="2:36" s="419" customFormat="1" ht="12.75" customHeight="1"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I5" s="410" t="s">
        <v>981</v>
      </c>
      <c r="AJ5" s="410" t="s">
        <v>982</v>
      </c>
    </row>
    <row r="6" spans="2:36" ht="13.5" customHeight="1" thickBot="1">
      <c r="B6" s="425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I6" s="410" t="s">
        <v>987</v>
      </c>
      <c r="AJ6" s="410" t="s">
        <v>988</v>
      </c>
    </row>
    <row r="7" spans="1:232" s="62" customFormat="1" ht="22.5" customHeight="1">
      <c r="A7" s="183" t="s">
        <v>1028</v>
      </c>
      <c r="B7" s="182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600" t="s">
        <v>1034</v>
      </c>
      <c r="I7" s="579" t="s">
        <v>1035</v>
      </c>
      <c r="J7" s="600" t="s">
        <v>1036</v>
      </c>
      <c r="K7" s="579" t="s">
        <v>1037</v>
      </c>
      <c r="L7" s="600" t="s">
        <v>1036</v>
      </c>
      <c r="M7" s="579" t="s">
        <v>1037</v>
      </c>
      <c r="N7" s="600" t="s">
        <v>1036</v>
      </c>
      <c r="O7" s="579" t="s">
        <v>1037</v>
      </c>
      <c r="P7" s="600" t="s">
        <v>1036</v>
      </c>
      <c r="Q7" s="579" t="s">
        <v>1037</v>
      </c>
      <c r="R7" s="65" t="s">
        <v>1038</v>
      </c>
      <c r="S7" s="58" t="s">
        <v>817</v>
      </c>
      <c r="T7" s="58" t="s">
        <v>1040</v>
      </c>
      <c r="U7" s="58" t="s">
        <v>1041</v>
      </c>
      <c r="V7" s="58" t="s">
        <v>1042</v>
      </c>
      <c r="W7" s="58" t="s">
        <v>913</v>
      </c>
      <c r="X7" s="58" t="s">
        <v>1044</v>
      </c>
      <c r="Y7" s="63" t="s">
        <v>1026</v>
      </c>
      <c r="Z7" s="64" t="s">
        <v>1026</v>
      </c>
      <c r="AA7" s="65" t="s">
        <v>914</v>
      </c>
      <c r="AB7" s="58" t="s">
        <v>915</v>
      </c>
      <c r="AC7" s="58" t="s">
        <v>1047</v>
      </c>
      <c r="AD7" s="58" t="s">
        <v>916</v>
      </c>
      <c r="AE7" s="58" t="s">
        <v>946</v>
      </c>
      <c r="AF7" s="58" t="s">
        <v>918</v>
      </c>
      <c r="AG7" s="66"/>
      <c r="AH7" s="66"/>
      <c r="AI7" s="410" t="s">
        <v>989</v>
      </c>
      <c r="AJ7" s="410" t="s">
        <v>990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6" ht="18.75" customHeight="1">
      <c r="A8" s="604">
        <v>42096</v>
      </c>
      <c r="B8" s="582" t="s">
        <v>818</v>
      </c>
      <c r="C8" s="532" t="s">
        <v>819</v>
      </c>
      <c r="D8" s="272" t="s">
        <v>820</v>
      </c>
      <c r="E8" s="273" t="s">
        <v>1054</v>
      </c>
      <c r="F8" s="273"/>
      <c r="G8" s="273"/>
      <c r="H8" s="427">
        <f aca="true" t="shared" si="0" ref="H8:I11">J8+L8+N8+P8</f>
        <v>65</v>
      </c>
      <c r="I8" s="427">
        <f t="shared" si="0"/>
        <v>0</v>
      </c>
      <c r="J8" s="288">
        <v>65</v>
      </c>
      <c r="K8" s="276"/>
      <c r="L8" s="277"/>
      <c r="M8" s="278"/>
      <c r="N8" s="391"/>
      <c r="O8" s="545"/>
      <c r="P8" s="279"/>
      <c r="Q8" s="280"/>
      <c r="R8" s="195">
        <v>65</v>
      </c>
      <c r="S8" s="195"/>
      <c r="T8" s="195"/>
      <c r="U8" s="195"/>
      <c r="V8" s="195"/>
      <c r="W8" s="647"/>
      <c r="X8" s="195"/>
      <c r="Y8" s="428"/>
      <c r="Z8" s="282"/>
      <c r="AA8" s="281"/>
      <c r="AB8" s="282"/>
      <c r="AC8" s="282"/>
      <c r="AD8" s="282"/>
      <c r="AE8" s="282"/>
      <c r="AF8" s="282"/>
      <c r="AI8" s="410"/>
      <c r="AJ8" s="410"/>
    </row>
    <row r="9" spans="1:36" s="425" customFormat="1" ht="18.75" customHeight="1">
      <c r="A9" s="581">
        <v>42096</v>
      </c>
      <c r="B9" s="605" t="s">
        <v>1057</v>
      </c>
      <c r="C9" s="271" t="s">
        <v>821</v>
      </c>
      <c r="D9" s="272" t="s">
        <v>822</v>
      </c>
      <c r="E9" s="273" t="s">
        <v>1054</v>
      </c>
      <c r="F9" s="273"/>
      <c r="G9" s="273"/>
      <c r="H9" s="427">
        <f t="shared" si="0"/>
        <v>992</v>
      </c>
      <c r="I9" s="427">
        <f t="shared" si="0"/>
        <v>0</v>
      </c>
      <c r="J9" s="275">
        <v>992</v>
      </c>
      <c r="K9" s="276"/>
      <c r="L9" s="277"/>
      <c r="M9" s="278"/>
      <c r="N9" s="391"/>
      <c r="O9" s="545"/>
      <c r="P9" s="279"/>
      <c r="Q9" s="280"/>
      <c r="R9" s="195">
        <v>992</v>
      </c>
      <c r="S9" s="195"/>
      <c r="T9" s="195"/>
      <c r="U9" s="195"/>
      <c r="V9" s="195"/>
      <c r="W9" s="195"/>
      <c r="X9" s="195"/>
      <c r="Y9" s="428"/>
      <c r="Z9" s="282"/>
      <c r="AA9" s="281"/>
      <c r="AC9" s="282"/>
      <c r="AD9" s="282"/>
      <c r="AE9" s="282"/>
      <c r="AF9" s="282"/>
      <c r="AI9" s="410"/>
      <c r="AJ9" s="407"/>
    </row>
    <row r="10" spans="1:32" ht="18.75" customHeight="1">
      <c r="A10" s="581">
        <v>39540</v>
      </c>
      <c r="B10" s="271" t="s">
        <v>823</v>
      </c>
      <c r="C10" s="271" t="s">
        <v>920</v>
      </c>
      <c r="D10" s="272" t="s">
        <v>1059</v>
      </c>
      <c r="E10" s="273"/>
      <c r="F10" s="273"/>
      <c r="G10" s="273"/>
      <c r="H10" s="427">
        <f t="shared" si="0"/>
        <v>0</v>
      </c>
      <c r="I10" s="427">
        <f t="shared" si="0"/>
        <v>250</v>
      </c>
      <c r="J10" s="275"/>
      <c r="K10" s="276">
        <v>250</v>
      </c>
      <c r="L10" s="277"/>
      <c r="M10" s="278"/>
      <c r="N10" s="391"/>
      <c r="O10" s="545"/>
      <c r="P10" s="279"/>
      <c r="Q10" s="280"/>
      <c r="R10" s="195"/>
      <c r="S10" s="195"/>
      <c r="T10" s="195"/>
      <c r="U10" s="195"/>
      <c r="V10" s="195"/>
      <c r="W10" s="195"/>
      <c r="X10" s="195"/>
      <c r="Y10" s="428"/>
      <c r="Z10" s="282"/>
      <c r="AA10" s="281"/>
      <c r="AB10" s="282">
        <v>250</v>
      </c>
      <c r="AC10" s="282"/>
      <c r="AD10" s="282"/>
      <c r="AE10" s="282"/>
      <c r="AF10" s="282"/>
    </row>
    <row r="11" spans="1:32" ht="18.75" customHeight="1">
      <c r="A11" s="581">
        <v>39540</v>
      </c>
      <c r="B11" s="285" t="s">
        <v>1051</v>
      </c>
      <c r="C11" s="527" t="s">
        <v>785</v>
      </c>
      <c r="D11" s="272" t="s">
        <v>923</v>
      </c>
      <c r="E11" s="273"/>
      <c r="F11" s="273"/>
      <c r="G11" s="273" t="s">
        <v>1054</v>
      </c>
      <c r="H11" s="427">
        <f t="shared" si="0"/>
        <v>15.3</v>
      </c>
      <c r="I11" s="427">
        <f t="shared" si="0"/>
        <v>0</v>
      </c>
      <c r="J11" s="275">
        <v>15.3</v>
      </c>
      <c r="K11" s="276"/>
      <c r="L11" s="277"/>
      <c r="M11" s="278"/>
      <c r="N11" s="391"/>
      <c r="O11" s="545"/>
      <c r="P11" s="279"/>
      <c r="Q11" s="280"/>
      <c r="R11" s="195"/>
      <c r="S11" s="195">
        <v>15.3</v>
      </c>
      <c r="T11" s="195"/>
      <c r="U11" s="195"/>
      <c r="V11" s="195"/>
      <c r="W11" s="195"/>
      <c r="X11" s="195"/>
      <c r="Y11" s="428"/>
      <c r="Z11" s="282"/>
      <c r="AA11" s="281"/>
      <c r="AB11" s="282"/>
      <c r="AC11" s="282"/>
      <c r="AD11" s="282"/>
      <c r="AE11" s="282"/>
      <c r="AF11" s="282"/>
    </row>
    <row r="12" spans="1:36" ht="18.75" customHeight="1">
      <c r="A12" s="581">
        <v>39541</v>
      </c>
      <c r="B12" s="289" t="s">
        <v>824</v>
      </c>
      <c r="C12" s="271" t="s">
        <v>825</v>
      </c>
      <c r="D12" s="272" t="s">
        <v>826</v>
      </c>
      <c r="E12" s="273" t="s">
        <v>1054</v>
      </c>
      <c r="F12" s="273"/>
      <c r="G12" s="273"/>
      <c r="H12" s="427">
        <f aca="true" t="shared" si="1" ref="H12:H26">J12+L12+N12+P12</f>
        <v>500</v>
      </c>
      <c r="I12" s="427">
        <f aca="true" t="shared" si="2" ref="I12:I26">K12+M12+O12+Q12</f>
        <v>0</v>
      </c>
      <c r="J12" s="275">
        <v>500</v>
      </c>
      <c r="K12" s="276"/>
      <c r="L12" s="277"/>
      <c r="M12" s="278"/>
      <c r="N12" s="391"/>
      <c r="O12" s="545"/>
      <c r="P12" s="279"/>
      <c r="Q12" s="280"/>
      <c r="R12" s="195"/>
      <c r="S12" s="195"/>
      <c r="T12" s="195"/>
      <c r="U12" s="195"/>
      <c r="V12" s="195"/>
      <c r="W12" s="195">
        <v>500</v>
      </c>
      <c r="X12" s="195"/>
      <c r="Y12" s="428"/>
      <c r="Z12" s="282"/>
      <c r="AA12" s="281"/>
      <c r="AB12" s="282"/>
      <c r="AC12" s="282"/>
      <c r="AD12" s="282"/>
      <c r="AE12" s="282"/>
      <c r="AF12" s="282"/>
      <c r="AI12" s="410"/>
      <c r="AJ12" s="410"/>
    </row>
    <row r="13" spans="1:36" ht="18.75" customHeight="1">
      <c r="A13" s="581">
        <v>39545</v>
      </c>
      <c r="B13" s="289" t="s">
        <v>924</v>
      </c>
      <c r="C13" s="532" t="s">
        <v>920</v>
      </c>
      <c r="D13" s="287" t="s">
        <v>1059</v>
      </c>
      <c r="E13" s="273"/>
      <c r="F13" s="273"/>
      <c r="G13" s="273"/>
      <c r="H13" s="427">
        <f t="shared" si="1"/>
        <v>0</v>
      </c>
      <c r="I13" s="427">
        <f t="shared" si="2"/>
        <v>217</v>
      </c>
      <c r="J13" s="288"/>
      <c r="K13" s="276">
        <v>217</v>
      </c>
      <c r="L13" s="277"/>
      <c r="M13" s="278"/>
      <c r="N13" s="391"/>
      <c r="O13" s="545"/>
      <c r="P13" s="279"/>
      <c r="Q13" s="280"/>
      <c r="R13" s="195"/>
      <c r="S13" s="195"/>
      <c r="T13" s="195"/>
      <c r="U13" s="195"/>
      <c r="V13" s="195"/>
      <c r="W13" s="195"/>
      <c r="X13" s="195"/>
      <c r="Y13" s="428"/>
      <c r="Z13" s="282"/>
      <c r="AA13" s="281"/>
      <c r="AB13" s="282">
        <v>217</v>
      </c>
      <c r="AC13" s="282"/>
      <c r="AD13" s="282"/>
      <c r="AE13" s="282"/>
      <c r="AF13" s="282"/>
      <c r="AI13" s="410"/>
      <c r="AJ13" s="410"/>
    </row>
    <row r="14" spans="1:36" s="425" customFormat="1" ht="18.75" customHeight="1">
      <c r="A14" s="581">
        <v>39545</v>
      </c>
      <c r="B14" s="289" t="s">
        <v>1051</v>
      </c>
      <c r="C14" s="532" t="s">
        <v>926</v>
      </c>
      <c r="D14" s="272"/>
      <c r="E14" s="273"/>
      <c r="F14" s="273"/>
      <c r="G14" s="273"/>
      <c r="H14" s="427">
        <f t="shared" si="1"/>
        <v>0</v>
      </c>
      <c r="I14" s="427">
        <f t="shared" si="2"/>
        <v>7539.62</v>
      </c>
      <c r="J14" s="288"/>
      <c r="K14" s="276">
        <v>7539.62</v>
      </c>
      <c r="L14" s="277"/>
      <c r="M14" s="278"/>
      <c r="N14" s="391"/>
      <c r="O14" s="545"/>
      <c r="P14" s="279"/>
      <c r="Q14" s="280"/>
      <c r="R14" s="195"/>
      <c r="S14" s="195"/>
      <c r="T14" s="195"/>
      <c r="U14" s="195"/>
      <c r="V14" s="195"/>
      <c r="W14" s="195"/>
      <c r="X14" s="195"/>
      <c r="Y14" s="428"/>
      <c r="Z14" s="282"/>
      <c r="AA14" s="281"/>
      <c r="AB14" s="282">
        <v>7512.62</v>
      </c>
      <c r="AC14" s="282"/>
      <c r="AD14" s="282"/>
      <c r="AE14" s="282"/>
      <c r="AF14" s="282">
        <v>27</v>
      </c>
      <c r="AI14" s="410"/>
      <c r="AJ14" s="410"/>
    </row>
    <row r="15" spans="1:36" s="425" customFormat="1" ht="18.75" customHeight="1">
      <c r="A15" s="581">
        <v>39547</v>
      </c>
      <c r="B15" s="289" t="s">
        <v>1055</v>
      </c>
      <c r="C15" s="271" t="s">
        <v>1055</v>
      </c>
      <c r="D15" s="287" t="s">
        <v>923</v>
      </c>
      <c r="E15" s="273"/>
      <c r="F15" s="273"/>
      <c r="G15" s="273" t="s">
        <v>1054</v>
      </c>
      <c r="H15" s="427">
        <f t="shared" si="1"/>
        <v>31.98</v>
      </c>
      <c r="I15" s="427">
        <f t="shared" si="2"/>
        <v>0</v>
      </c>
      <c r="J15" s="288">
        <v>31.98</v>
      </c>
      <c r="K15" s="276"/>
      <c r="L15" s="277"/>
      <c r="M15" s="278"/>
      <c r="N15" s="391"/>
      <c r="O15" s="545"/>
      <c r="P15" s="279"/>
      <c r="Q15" s="280"/>
      <c r="R15" s="195"/>
      <c r="S15" s="195"/>
      <c r="T15" s="195">
        <v>31.98</v>
      </c>
      <c r="U15" s="195"/>
      <c r="V15" s="195"/>
      <c r="W15" s="195"/>
      <c r="X15" s="195"/>
      <c r="Y15" s="428"/>
      <c r="Z15" s="282"/>
      <c r="AA15" s="281"/>
      <c r="AB15" s="282"/>
      <c r="AC15" s="282"/>
      <c r="AD15" s="282"/>
      <c r="AE15" s="282"/>
      <c r="AF15" s="282"/>
      <c r="AI15" s="410"/>
      <c r="AJ15" s="410"/>
    </row>
    <row r="16" spans="1:35" s="425" customFormat="1" ht="18.75" customHeight="1">
      <c r="A16" s="581">
        <v>39548</v>
      </c>
      <c r="B16" s="582" t="s">
        <v>827</v>
      </c>
      <c r="C16" s="532" t="s">
        <v>828</v>
      </c>
      <c r="D16" s="272" t="s">
        <v>829</v>
      </c>
      <c r="E16" s="273" t="s">
        <v>1054</v>
      </c>
      <c r="F16" s="273"/>
      <c r="G16" s="273"/>
      <c r="H16" s="427">
        <f t="shared" si="1"/>
        <v>55.25</v>
      </c>
      <c r="I16" s="427">
        <f t="shared" si="2"/>
        <v>0</v>
      </c>
      <c r="J16" s="288">
        <v>55.25</v>
      </c>
      <c r="K16" s="276"/>
      <c r="L16" s="277"/>
      <c r="M16" s="278"/>
      <c r="N16" s="391"/>
      <c r="O16" s="545"/>
      <c r="P16" s="279"/>
      <c r="Q16" s="280"/>
      <c r="R16" s="195"/>
      <c r="S16" s="195"/>
      <c r="T16" s="195"/>
      <c r="U16" s="195"/>
      <c r="V16" s="195"/>
      <c r="W16" s="195"/>
      <c r="X16" s="195">
        <v>55.25</v>
      </c>
      <c r="Y16" s="428"/>
      <c r="Z16" s="282"/>
      <c r="AA16" s="281"/>
      <c r="AB16" s="282"/>
      <c r="AC16" s="282"/>
      <c r="AD16" s="282"/>
      <c r="AE16" s="282"/>
      <c r="AF16" s="282"/>
      <c r="AI16" s="410"/>
    </row>
    <row r="17" spans="1:35" s="425" customFormat="1" ht="18.75" customHeight="1">
      <c r="A17" s="581">
        <v>39553</v>
      </c>
      <c r="B17" s="583" t="s">
        <v>830</v>
      </c>
      <c r="C17" s="532" t="s">
        <v>831</v>
      </c>
      <c r="D17" s="272" t="s">
        <v>832</v>
      </c>
      <c r="E17" s="293" t="s">
        <v>1054</v>
      </c>
      <c r="F17" s="293"/>
      <c r="G17" s="293"/>
      <c r="H17" s="427">
        <f t="shared" si="1"/>
        <v>91.2</v>
      </c>
      <c r="I17" s="427">
        <f t="shared" si="2"/>
        <v>0</v>
      </c>
      <c r="J17" s="275">
        <v>91.2</v>
      </c>
      <c r="K17" s="276"/>
      <c r="L17" s="277"/>
      <c r="M17" s="278"/>
      <c r="N17" s="391"/>
      <c r="O17" s="545"/>
      <c r="P17" s="279"/>
      <c r="Q17" s="280"/>
      <c r="R17" s="195"/>
      <c r="S17" s="195"/>
      <c r="T17" s="195"/>
      <c r="U17" s="195"/>
      <c r="V17" s="195"/>
      <c r="W17" s="195">
        <v>91.2</v>
      </c>
      <c r="X17" s="195"/>
      <c r="Y17" s="428"/>
      <c r="Z17" s="282"/>
      <c r="AA17" s="281"/>
      <c r="AB17" s="282"/>
      <c r="AC17" s="282"/>
      <c r="AD17" s="282"/>
      <c r="AE17" s="282"/>
      <c r="AF17" s="282"/>
      <c r="AI17" s="410"/>
    </row>
    <row r="18" spans="1:35" s="425" customFormat="1" ht="18.75" customHeight="1">
      <c r="A18" s="581">
        <v>39553</v>
      </c>
      <c r="B18" s="583" t="s">
        <v>989</v>
      </c>
      <c r="C18" s="532" t="s">
        <v>1056</v>
      </c>
      <c r="D18" s="272" t="s">
        <v>923</v>
      </c>
      <c r="E18" s="293"/>
      <c r="F18" s="293"/>
      <c r="G18" s="293" t="s">
        <v>1054</v>
      </c>
      <c r="H18" s="427">
        <f t="shared" si="1"/>
        <v>684.3</v>
      </c>
      <c r="I18" s="427">
        <f t="shared" si="2"/>
        <v>0</v>
      </c>
      <c r="J18" s="275">
        <v>684.3</v>
      </c>
      <c r="K18" s="276"/>
      <c r="L18" s="277"/>
      <c r="M18" s="278"/>
      <c r="N18" s="391"/>
      <c r="O18" s="545"/>
      <c r="P18" s="279"/>
      <c r="Q18" s="280"/>
      <c r="R18" s="195"/>
      <c r="S18" s="195"/>
      <c r="T18" s="195"/>
      <c r="U18" s="195">
        <v>684.3</v>
      </c>
      <c r="V18" s="195"/>
      <c r="W18" s="195"/>
      <c r="X18" s="195"/>
      <c r="Y18" s="428"/>
      <c r="Z18" s="282"/>
      <c r="AA18" s="281"/>
      <c r="AB18" s="282"/>
      <c r="AC18" s="282"/>
      <c r="AD18" s="282"/>
      <c r="AE18" s="282"/>
      <c r="AF18" s="282"/>
      <c r="AI18" s="410"/>
    </row>
    <row r="19" spans="1:35" s="425" customFormat="1" ht="18.75" customHeight="1">
      <c r="A19" s="581">
        <v>39558</v>
      </c>
      <c r="B19" s="583" t="s">
        <v>833</v>
      </c>
      <c r="C19" s="532" t="s">
        <v>834</v>
      </c>
      <c r="D19" s="272" t="s">
        <v>835</v>
      </c>
      <c r="E19" s="293" t="s">
        <v>1054</v>
      </c>
      <c r="F19" s="293"/>
      <c r="G19" s="293"/>
      <c r="H19" s="427">
        <f t="shared" si="1"/>
        <v>420</v>
      </c>
      <c r="I19" s="427">
        <f t="shared" si="2"/>
        <v>0</v>
      </c>
      <c r="J19" s="275">
        <v>420</v>
      </c>
      <c r="K19" s="276"/>
      <c r="L19" s="277"/>
      <c r="M19" s="278"/>
      <c r="N19" s="391"/>
      <c r="O19" s="545"/>
      <c r="P19" s="279"/>
      <c r="Q19" s="280"/>
      <c r="R19" s="195"/>
      <c r="S19" s="195"/>
      <c r="T19" s="195"/>
      <c r="U19" s="195"/>
      <c r="V19" s="195"/>
      <c r="W19" s="195">
        <v>420</v>
      </c>
      <c r="X19" s="195"/>
      <c r="Y19" s="428"/>
      <c r="Z19" s="282"/>
      <c r="AA19" s="281"/>
      <c r="AB19" s="282"/>
      <c r="AC19" s="282"/>
      <c r="AD19" s="282"/>
      <c r="AE19" s="282"/>
      <c r="AF19" s="282"/>
      <c r="AI19" s="410"/>
    </row>
    <row r="20" spans="1:35" s="425" customFormat="1" ht="18.75" customHeight="1">
      <c r="A20" s="581">
        <v>39560</v>
      </c>
      <c r="B20" s="583" t="s">
        <v>836</v>
      </c>
      <c r="C20" s="532" t="s">
        <v>837</v>
      </c>
      <c r="D20" s="272" t="s">
        <v>838</v>
      </c>
      <c r="E20" s="293" t="s">
        <v>1054</v>
      </c>
      <c r="F20" s="293"/>
      <c r="G20" s="293"/>
      <c r="H20" s="427">
        <f t="shared" si="1"/>
        <v>142.16</v>
      </c>
      <c r="I20" s="427">
        <f t="shared" si="2"/>
        <v>0</v>
      </c>
      <c r="J20" s="275">
        <v>142.16</v>
      </c>
      <c r="K20" s="276"/>
      <c r="L20" s="277"/>
      <c r="M20" s="278"/>
      <c r="N20" s="391"/>
      <c r="O20" s="545"/>
      <c r="P20" s="279"/>
      <c r="Q20" s="280"/>
      <c r="R20" s="195"/>
      <c r="S20" s="195"/>
      <c r="T20" s="195"/>
      <c r="U20" s="195"/>
      <c r="V20" s="195">
        <v>8.35</v>
      </c>
      <c r="W20" s="195">
        <v>29.4</v>
      </c>
      <c r="X20" s="195">
        <v>104.41</v>
      </c>
      <c r="Y20" s="428"/>
      <c r="Z20" s="282"/>
      <c r="AA20" s="281"/>
      <c r="AB20" s="282"/>
      <c r="AC20" s="282"/>
      <c r="AD20" s="282"/>
      <c r="AE20" s="282"/>
      <c r="AF20" s="282"/>
      <c r="AI20" s="410"/>
    </row>
    <row r="21" spans="1:35" s="425" customFormat="1" ht="18.75" customHeight="1">
      <c r="A21" s="581">
        <v>39561</v>
      </c>
      <c r="B21" s="583" t="s">
        <v>839</v>
      </c>
      <c r="C21" s="532" t="s">
        <v>840</v>
      </c>
      <c r="D21" s="272" t="s">
        <v>841</v>
      </c>
      <c r="E21" s="293" t="s">
        <v>1054</v>
      </c>
      <c r="F21" s="293"/>
      <c r="G21" s="293"/>
      <c r="H21" s="427">
        <f t="shared" si="1"/>
        <v>1098.64</v>
      </c>
      <c r="I21" s="427">
        <f t="shared" si="2"/>
        <v>0</v>
      </c>
      <c r="J21" s="275">
        <v>1098.64</v>
      </c>
      <c r="K21" s="276"/>
      <c r="L21" s="277"/>
      <c r="M21" s="278"/>
      <c r="N21" s="391"/>
      <c r="O21" s="545"/>
      <c r="P21" s="279"/>
      <c r="Q21" s="280"/>
      <c r="R21" s="195"/>
      <c r="S21" s="195"/>
      <c r="T21" s="195"/>
      <c r="U21" s="195"/>
      <c r="V21" s="195">
        <v>1098.64</v>
      </c>
      <c r="W21" s="195"/>
      <c r="X21" s="195"/>
      <c r="Y21" s="428"/>
      <c r="Z21" s="282"/>
      <c r="AA21" s="281"/>
      <c r="AB21" s="282"/>
      <c r="AC21" s="282"/>
      <c r="AD21" s="282"/>
      <c r="AE21" s="282"/>
      <c r="AF21" s="282"/>
      <c r="AI21" s="410"/>
    </row>
    <row r="22" spans="1:35" s="425" customFormat="1" ht="18.75" customHeight="1">
      <c r="A22" s="581">
        <v>39562</v>
      </c>
      <c r="B22" s="292" t="s">
        <v>1057</v>
      </c>
      <c r="C22" s="271" t="s">
        <v>842</v>
      </c>
      <c r="D22" s="272" t="s">
        <v>843</v>
      </c>
      <c r="E22" s="293" t="s">
        <v>1054</v>
      </c>
      <c r="F22" s="293"/>
      <c r="G22" s="293"/>
      <c r="H22" s="427">
        <f t="shared" si="1"/>
        <v>120.35</v>
      </c>
      <c r="I22" s="427">
        <f t="shared" si="2"/>
        <v>0</v>
      </c>
      <c r="J22" s="275">
        <v>120.35</v>
      </c>
      <c r="K22" s="276"/>
      <c r="L22" s="277"/>
      <c r="M22" s="278"/>
      <c r="N22" s="391"/>
      <c r="O22" s="545"/>
      <c r="P22" s="279"/>
      <c r="Q22" s="280"/>
      <c r="R22" s="195">
        <v>120.35</v>
      </c>
      <c r="S22" s="195"/>
      <c r="T22" s="195"/>
      <c r="U22" s="195"/>
      <c r="V22" s="195"/>
      <c r="W22" s="195"/>
      <c r="X22" s="195"/>
      <c r="Y22" s="428"/>
      <c r="Z22" s="282"/>
      <c r="AA22" s="281"/>
      <c r="AB22" s="282"/>
      <c r="AC22" s="282"/>
      <c r="AD22" s="282"/>
      <c r="AE22" s="282"/>
      <c r="AF22" s="282"/>
      <c r="AI22" s="410"/>
    </row>
    <row r="23" spans="1:35" s="425" customFormat="1" ht="18.75" customHeight="1">
      <c r="A23" s="581">
        <v>39562</v>
      </c>
      <c r="B23" s="582" t="s">
        <v>844</v>
      </c>
      <c r="C23" s="532" t="s">
        <v>845</v>
      </c>
      <c r="D23" s="272" t="s">
        <v>846</v>
      </c>
      <c r="E23" s="273" t="s">
        <v>1054</v>
      </c>
      <c r="F23" s="273"/>
      <c r="G23" s="273"/>
      <c r="H23" s="427">
        <f t="shared" si="1"/>
        <v>995</v>
      </c>
      <c r="I23" s="427">
        <f t="shared" si="2"/>
        <v>0</v>
      </c>
      <c r="J23" s="275">
        <v>995</v>
      </c>
      <c r="K23" s="276"/>
      <c r="L23" s="277"/>
      <c r="M23" s="278"/>
      <c r="N23" s="391"/>
      <c r="O23" s="545"/>
      <c r="P23" s="279"/>
      <c r="Q23" s="280"/>
      <c r="R23" s="195"/>
      <c r="S23" s="195"/>
      <c r="T23" s="195"/>
      <c r="U23" s="195"/>
      <c r="V23" s="195">
        <v>995</v>
      </c>
      <c r="W23" s="195"/>
      <c r="X23" s="195"/>
      <c r="Y23" s="428"/>
      <c r="Z23" s="282"/>
      <c r="AA23" s="281"/>
      <c r="AB23" s="282"/>
      <c r="AC23" s="282"/>
      <c r="AD23" s="282"/>
      <c r="AE23" s="282"/>
      <c r="AF23" s="282"/>
      <c r="AI23" s="410"/>
    </row>
    <row r="24" spans="1:36" s="425" customFormat="1" ht="18.75" customHeight="1">
      <c r="A24" s="581">
        <v>39562</v>
      </c>
      <c r="B24" s="292" t="s">
        <v>847</v>
      </c>
      <c r="C24" s="271" t="s">
        <v>848</v>
      </c>
      <c r="D24" s="272" t="s">
        <v>849</v>
      </c>
      <c r="E24" s="293" t="s">
        <v>1054</v>
      </c>
      <c r="F24" s="293"/>
      <c r="G24" s="293"/>
      <c r="H24" s="427">
        <f t="shared" si="1"/>
        <v>1016.45</v>
      </c>
      <c r="I24" s="427">
        <f t="shared" si="2"/>
        <v>0</v>
      </c>
      <c r="J24" s="275">
        <v>1016.45</v>
      </c>
      <c r="K24" s="276"/>
      <c r="L24" s="277"/>
      <c r="M24" s="278"/>
      <c r="N24" s="391"/>
      <c r="O24" s="545"/>
      <c r="P24" s="279"/>
      <c r="Q24" s="280"/>
      <c r="R24" s="195">
        <v>1016.45</v>
      </c>
      <c r="S24" s="195"/>
      <c r="T24" s="195"/>
      <c r="U24" s="195"/>
      <c r="V24" s="195"/>
      <c r="W24" s="195"/>
      <c r="X24" s="195"/>
      <c r="Y24" s="428"/>
      <c r="Z24" s="282"/>
      <c r="AA24" s="281"/>
      <c r="AB24" s="282"/>
      <c r="AC24" s="282"/>
      <c r="AD24" s="282"/>
      <c r="AE24" s="282"/>
      <c r="AF24" s="199"/>
      <c r="AG24" s="606"/>
      <c r="AH24" s="606"/>
      <c r="AI24" s="410"/>
      <c r="AJ24" s="407"/>
    </row>
    <row r="25" spans="1:34" ht="18.75" customHeight="1">
      <c r="A25" s="581">
        <v>39562</v>
      </c>
      <c r="B25" s="292" t="s">
        <v>924</v>
      </c>
      <c r="C25" s="271" t="s">
        <v>920</v>
      </c>
      <c r="D25" s="272" t="s">
        <v>1059</v>
      </c>
      <c r="E25" s="293"/>
      <c r="F25" s="293"/>
      <c r="G25" s="293"/>
      <c r="H25" s="427">
        <f t="shared" si="1"/>
        <v>0</v>
      </c>
      <c r="I25" s="427">
        <f t="shared" si="2"/>
        <v>217</v>
      </c>
      <c r="J25" s="275"/>
      <c r="K25" s="276">
        <v>217</v>
      </c>
      <c r="L25" s="277"/>
      <c r="M25" s="278"/>
      <c r="N25" s="391"/>
      <c r="O25" s="545"/>
      <c r="P25" s="279"/>
      <c r="Q25" s="280"/>
      <c r="R25" s="195"/>
      <c r="S25" s="195"/>
      <c r="T25" s="195"/>
      <c r="U25" s="195"/>
      <c r="V25" s="195"/>
      <c r="W25" s="195"/>
      <c r="X25" s="195"/>
      <c r="Y25" s="428"/>
      <c r="Z25" s="282"/>
      <c r="AA25" s="281"/>
      <c r="AB25" s="282">
        <v>217</v>
      </c>
      <c r="AC25" s="282"/>
      <c r="AD25" s="282"/>
      <c r="AE25" s="282"/>
      <c r="AF25" s="199"/>
      <c r="AG25" s="522"/>
      <c r="AH25" s="522"/>
    </row>
    <row r="26" spans="1:32" ht="18.75" customHeight="1" thickBot="1">
      <c r="A26" s="581">
        <v>39568</v>
      </c>
      <c r="B26" s="292" t="s">
        <v>850</v>
      </c>
      <c r="C26" s="271"/>
      <c r="D26" s="272"/>
      <c r="E26" s="293"/>
      <c r="F26" s="293" t="s">
        <v>1054</v>
      </c>
      <c r="G26" s="293"/>
      <c r="H26" s="427">
        <f t="shared" si="1"/>
        <v>0</v>
      </c>
      <c r="I26" s="427">
        <f t="shared" si="2"/>
        <v>20</v>
      </c>
      <c r="J26" s="275"/>
      <c r="K26" s="276"/>
      <c r="L26" s="277"/>
      <c r="M26" s="278"/>
      <c r="N26" s="391"/>
      <c r="O26" s="545"/>
      <c r="P26" s="279"/>
      <c r="Q26" s="280">
        <v>20</v>
      </c>
      <c r="R26" s="195"/>
      <c r="S26" s="195"/>
      <c r="T26" s="195"/>
      <c r="U26" s="195"/>
      <c r="V26" s="195"/>
      <c r="W26" s="195"/>
      <c r="X26" s="195"/>
      <c r="Y26" s="428"/>
      <c r="Z26" s="282"/>
      <c r="AA26" s="281"/>
      <c r="AB26" s="282"/>
      <c r="AC26" s="282">
        <v>20</v>
      </c>
      <c r="AD26" s="282"/>
      <c r="AE26" s="282"/>
      <c r="AF26" s="282"/>
    </row>
    <row r="27" spans="1:32" ht="18.75" customHeight="1" thickBot="1">
      <c r="A27" s="433"/>
      <c r="B27" s="434"/>
      <c r="C27" s="435"/>
      <c r="D27" s="436"/>
      <c r="E27" s="437"/>
      <c r="F27" s="437"/>
      <c r="G27" s="437"/>
      <c r="H27" s="438">
        <f aca="true" t="shared" si="3" ref="H27:AF27">SUM(H8:H26)</f>
        <v>6227.63</v>
      </c>
      <c r="I27" s="439">
        <f t="shared" si="3"/>
        <v>8243.619999999999</v>
      </c>
      <c r="J27" s="440">
        <f t="shared" si="3"/>
        <v>6227.63</v>
      </c>
      <c r="K27" s="440">
        <f t="shared" si="3"/>
        <v>8223.619999999999</v>
      </c>
      <c r="L27" s="440">
        <f t="shared" si="3"/>
        <v>0</v>
      </c>
      <c r="M27" s="440">
        <f t="shared" si="3"/>
        <v>0</v>
      </c>
      <c r="N27" s="440">
        <f t="shared" si="3"/>
        <v>0</v>
      </c>
      <c r="O27" s="440">
        <f t="shared" si="3"/>
        <v>0</v>
      </c>
      <c r="P27" s="440">
        <f t="shared" si="3"/>
        <v>0</v>
      </c>
      <c r="Q27" s="440">
        <f t="shared" si="3"/>
        <v>20</v>
      </c>
      <c r="R27" s="440">
        <f t="shared" si="3"/>
        <v>2193.8</v>
      </c>
      <c r="S27" s="440">
        <f t="shared" si="3"/>
        <v>15.3</v>
      </c>
      <c r="T27" s="440">
        <f t="shared" si="3"/>
        <v>31.98</v>
      </c>
      <c r="U27" s="440">
        <f t="shared" si="3"/>
        <v>684.3</v>
      </c>
      <c r="V27" s="440">
        <f t="shared" si="3"/>
        <v>2101.99</v>
      </c>
      <c r="W27" s="440">
        <f t="shared" si="3"/>
        <v>1040.6000000000001</v>
      </c>
      <c r="X27" s="440">
        <f t="shared" si="3"/>
        <v>159.66</v>
      </c>
      <c r="Y27" s="440">
        <f t="shared" si="3"/>
        <v>0</v>
      </c>
      <c r="Z27" s="440">
        <f t="shared" si="3"/>
        <v>0</v>
      </c>
      <c r="AA27" s="440">
        <f t="shared" si="3"/>
        <v>0</v>
      </c>
      <c r="AB27" s="440">
        <f t="shared" si="3"/>
        <v>8196.619999999999</v>
      </c>
      <c r="AC27" s="440">
        <f t="shared" si="3"/>
        <v>20</v>
      </c>
      <c r="AD27" s="440">
        <f t="shared" si="3"/>
        <v>0</v>
      </c>
      <c r="AE27" s="440">
        <f t="shared" si="3"/>
        <v>0</v>
      </c>
      <c r="AF27" s="440">
        <f t="shared" si="3"/>
        <v>27</v>
      </c>
    </row>
    <row r="28" spans="2:32" ht="18.75" customHeight="1">
      <c r="B28" s="441"/>
      <c r="C28" s="441"/>
      <c r="D28" s="442"/>
      <c r="E28" s="422"/>
      <c r="F28" s="422"/>
      <c r="G28" s="422"/>
      <c r="H28" s="443"/>
      <c r="I28" s="443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</row>
    <row r="29" spans="2:32" s="445" customFormat="1" ht="18.75" customHeight="1" thickBot="1">
      <c r="B29" s="446"/>
      <c r="C29" s="446"/>
      <c r="D29" s="407"/>
      <c r="E29" s="397"/>
      <c r="F29" s="397"/>
      <c r="G29" s="447" t="s">
        <v>1066</v>
      </c>
      <c r="H29" s="448">
        <f>(J27+L27+N27+P27)-Y27</f>
        <v>6227.63</v>
      </c>
      <c r="J29" s="449"/>
      <c r="K29" s="400"/>
      <c r="N29" s="449"/>
      <c r="O29" s="449" t="s">
        <v>1067</v>
      </c>
      <c r="P29" s="450">
        <f>(K27+M27+O27+Q27)-Z27</f>
        <v>8243.619999999999</v>
      </c>
      <c r="Q29" s="451"/>
      <c r="T29" s="453"/>
      <c r="U29" s="449" t="s">
        <v>1068</v>
      </c>
      <c r="V29" s="549">
        <f>(R27+S27+T27+U27+V27+W27+X27)</f>
        <v>6227.63</v>
      </c>
      <c r="W29" s="453"/>
      <c r="X29" s="453"/>
      <c r="Y29" s="454"/>
      <c r="AA29" s="455"/>
      <c r="AB29" s="447" t="s">
        <v>885</v>
      </c>
      <c r="AC29" s="550">
        <f>(AA27+AB27+AC27+AD27+AE27+AF27)</f>
        <v>8243.619999999999</v>
      </c>
      <c r="AD29" s="453"/>
      <c r="AE29" s="453"/>
      <c r="AF29" s="453"/>
    </row>
    <row r="30" spans="2:32" s="457" customFormat="1" ht="18.75" customHeight="1" thickBot="1">
      <c r="B30" s="458"/>
      <c r="C30" s="459" t="s">
        <v>851</v>
      </c>
      <c r="D30" s="460"/>
      <c r="E30" s="397"/>
      <c r="F30" s="397"/>
      <c r="G30" s="461"/>
      <c r="H30" s="462">
        <f aca="true" t="shared" si="4" ref="H30:AF30">SUM(H3+H27)</f>
        <v>26724.32</v>
      </c>
      <c r="I30" s="463">
        <f t="shared" si="4"/>
        <v>36261.240000000005</v>
      </c>
      <c r="J30" s="464">
        <f t="shared" si="4"/>
        <v>26724.32</v>
      </c>
      <c r="K30" s="464">
        <f t="shared" si="4"/>
        <v>38083.97</v>
      </c>
      <c r="L30" s="464">
        <f t="shared" si="4"/>
        <v>0</v>
      </c>
      <c r="M30" s="464">
        <f t="shared" si="4"/>
        <v>63232.73</v>
      </c>
      <c r="N30" s="464">
        <f t="shared" si="4"/>
        <v>0</v>
      </c>
      <c r="O30" s="464">
        <f t="shared" si="4"/>
        <v>77741.76</v>
      </c>
      <c r="P30" s="464">
        <f t="shared" si="4"/>
        <v>0</v>
      </c>
      <c r="Q30" s="464">
        <f t="shared" si="4"/>
        <v>135.16</v>
      </c>
      <c r="R30" s="464">
        <f t="shared" si="4"/>
        <v>2326.5200000000004</v>
      </c>
      <c r="S30" s="464">
        <f t="shared" si="4"/>
        <v>91.8</v>
      </c>
      <c r="T30" s="464">
        <f t="shared" si="4"/>
        <v>1612.28</v>
      </c>
      <c r="U30" s="464">
        <f t="shared" si="4"/>
        <v>3379.51</v>
      </c>
      <c r="V30" s="464">
        <f t="shared" si="4"/>
        <v>4420.5</v>
      </c>
      <c r="W30" s="464">
        <f t="shared" si="4"/>
        <v>1744.9100000000003</v>
      </c>
      <c r="X30" s="464">
        <f t="shared" si="4"/>
        <v>1148.8</v>
      </c>
      <c r="Y30" s="464">
        <f t="shared" si="4"/>
        <v>12000</v>
      </c>
      <c r="Z30" s="464">
        <f t="shared" si="4"/>
        <v>12000</v>
      </c>
      <c r="AA30" s="464">
        <f t="shared" si="4"/>
        <v>0</v>
      </c>
      <c r="AB30" s="464">
        <f t="shared" si="4"/>
        <v>22948.1</v>
      </c>
      <c r="AC30" s="464">
        <f t="shared" si="4"/>
        <v>20</v>
      </c>
      <c r="AD30" s="464">
        <f t="shared" si="4"/>
        <v>0</v>
      </c>
      <c r="AE30" s="464">
        <f t="shared" si="4"/>
        <v>1237.54</v>
      </c>
      <c r="AF30" s="464">
        <f t="shared" si="4"/>
        <v>55.6</v>
      </c>
    </row>
    <row r="31" spans="2:32" s="457" customFormat="1" ht="18.75" customHeight="1" thickBot="1">
      <c r="B31" s="458"/>
      <c r="C31" s="458"/>
      <c r="D31" s="460"/>
      <c r="E31" s="397"/>
      <c r="F31" s="397"/>
      <c r="G31" s="461"/>
      <c r="H31" s="465"/>
      <c r="I31" s="466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</row>
    <row r="32" spans="2:32" s="445" customFormat="1" ht="18.75" customHeight="1" thickBot="1">
      <c r="B32" s="458"/>
      <c r="C32" s="468"/>
      <c r="D32" s="407"/>
      <c r="E32" s="397"/>
      <c r="F32" s="397"/>
      <c r="G32" s="447" t="s">
        <v>887</v>
      </c>
      <c r="H32" s="469">
        <f>(J30+L30+P30)-Y30</f>
        <v>14724.32</v>
      </c>
      <c r="J32" s="449"/>
      <c r="K32" s="400"/>
      <c r="M32" s="449" t="s">
        <v>938</v>
      </c>
      <c r="N32" s="449"/>
      <c r="O32" s="449"/>
      <c r="P32" s="450">
        <f>(K30+M30+O30+Q30)-Y30</f>
        <v>167193.62000000002</v>
      </c>
      <c r="Q32" s="451"/>
      <c r="R32" s="449" t="s">
        <v>887</v>
      </c>
      <c r="S32" s="452">
        <f>(R30+S30+T30+U30+V30+W30+X30)</f>
        <v>14724.32</v>
      </c>
      <c r="T32" s="453"/>
      <c r="U32" s="453"/>
      <c r="V32" s="453"/>
      <c r="W32" s="453"/>
      <c r="X32" s="453"/>
      <c r="Y32" s="470"/>
      <c r="AA32" s="455"/>
      <c r="AB32" s="447" t="s">
        <v>1069</v>
      </c>
      <c r="AC32" s="456">
        <f>(AA30+AB30+AC30+AD30+AE30+AF30)</f>
        <v>24261.239999999998</v>
      </c>
      <c r="AD32" s="453"/>
      <c r="AE32" s="453"/>
      <c r="AF32" s="453"/>
    </row>
    <row r="33" spans="2:28" ht="18.75" customHeight="1" thickBot="1">
      <c r="B33" s="458"/>
      <c r="C33" s="471" t="s">
        <v>814</v>
      </c>
      <c r="D33" s="472" t="s">
        <v>1071</v>
      </c>
      <c r="E33" s="473"/>
      <c r="F33" s="473"/>
      <c r="G33" s="473"/>
      <c r="H33" s="474">
        <f>Mars15!H26</f>
        <v>9363.660000000002</v>
      </c>
      <c r="I33" s="475"/>
      <c r="J33" s="476" t="s">
        <v>1072</v>
      </c>
      <c r="K33" s="474">
        <f>Mars15!K26</f>
        <v>63232.73</v>
      </c>
      <c r="L33" s="477"/>
      <c r="M33" s="343" t="s">
        <v>1073</v>
      </c>
      <c r="N33" s="609">
        <f>Mars15!N26</f>
        <v>77741.76</v>
      </c>
      <c r="O33" s="477"/>
      <c r="P33" s="478" t="s">
        <v>981</v>
      </c>
      <c r="Q33" s="474">
        <f>Mars15!Q26</f>
        <v>115.16</v>
      </c>
      <c r="AB33" s="479"/>
    </row>
    <row r="34" spans="2:28" s="480" customFormat="1" ht="18.75" customHeight="1" thickBot="1">
      <c r="B34" s="425"/>
      <c r="C34" s="481" t="s">
        <v>894</v>
      </c>
      <c r="D34" s="482"/>
      <c r="E34" s="397"/>
      <c r="F34" s="397"/>
      <c r="G34" s="397"/>
      <c r="H34" s="483"/>
      <c r="I34" s="484"/>
      <c r="J34" s="483"/>
      <c r="K34" s="483"/>
      <c r="L34" s="484"/>
      <c r="M34" s="484"/>
      <c r="N34" s="484"/>
      <c r="O34" s="484"/>
      <c r="P34" s="483"/>
      <c r="Q34" s="400"/>
      <c r="R34" s="485"/>
      <c r="S34" s="476" t="s">
        <v>1074</v>
      </c>
      <c r="T34" s="486"/>
      <c r="U34" s="487"/>
      <c r="V34" s="487"/>
      <c r="W34" s="487"/>
      <c r="X34" s="476" t="s">
        <v>1075</v>
      </c>
      <c r="Y34" s="488"/>
      <c r="Z34" s="486"/>
      <c r="AB34" s="405"/>
    </row>
    <row r="35" spans="2:28" ht="18.75" customHeight="1" thickBot="1" thickTop="1">
      <c r="B35" s="489"/>
      <c r="C35" s="490" t="s">
        <v>852</v>
      </c>
      <c r="D35" s="491" t="s">
        <v>1071</v>
      </c>
      <c r="E35" s="492"/>
      <c r="F35" s="492"/>
      <c r="G35" s="492"/>
      <c r="H35" s="493">
        <f>SUM(H33+K27)-(J27)</f>
        <v>11359.649999999998</v>
      </c>
      <c r="I35" s="494"/>
      <c r="J35" s="495" t="s">
        <v>1072</v>
      </c>
      <c r="K35" s="493">
        <f>K33+M27-L27</f>
        <v>63232.73</v>
      </c>
      <c r="M35" s="343" t="s">
        <v>1073</v>
      </c>
      <c r="N35" s="602">
        <f>N33+O27-N27</f>
        <v>77741.76</v>
      </c>
      <c r="O35" s="608"/>
      <c r="P35" s="495" t="s">
        <v>981</v>
      </c>
      <c r="Q35" s="493">
        <f>SUM(Q33+Q27)-(P27)</f>
        <v>135.16</v>
      </c>
      <c r="R35" s="541"/>
      <c r="S35" s="495" t="s">
        <v>1077</v>
      </c>
      <c r="T35" s="497"/>
      <c r="X35" s="495" t="s">
        <v>898</v>
      </c>
      <c r="Y35" s="498"/>
      <c r="Z35" s="497"/>
      <c r="AB35" s="499"/>
    </row>
    <row r="36" spans="2:28" ht="18.75" customHeight="1" thickTop="1">
      <c r="B36" s="489"/>
      <c r="C36" s="489"/>
      <c r="D36" s="538"/>
      <c r="E36" s="422"/>
      <c r="F36" s="422"/>
      <c r="G36" s="422"/>
      <c r="H36" s="541"/>
      <c r="I36" s="494"/>
      <c r="J36" s="496"/>
      <c r="K36" s="541"/>
      <c r="M36" s="353"/>
      <c r="N36" s="611"/>
      <c r="O36" s="608"/>
      <c r="P36" s="496"/>
      <c r="Q36" s="541"/>
      <c r="R36" s="541"/>
      <c r="S36" s="496"/>
      <c r="T36" s="540"/>
      <c r="X36" s="496"/>
      <c r="Y36" s="498"/>
      <c r="Z36" s="540"/>
      <c r="AB36" s="499"/>
    </row>
    <row r="37" spans="2:28" s="457" customFormat="1" ht="12">
      <c r="B37" s="446" t="s">
        <v>899</v>
      </c>
      <c r="C37" s="500"/>
      <c r="D37" s="501" t="s">
        <v>900</v>
      </c>
      <c r="E37" s="502"/>
      <c r="F37" s="502"/>
      <c r="G37" s="502"/>
      <c r="H37" s="503"/>
      <c r="I37" s="501" t="s">
        <v>901</v>
      </c>
      <c r="J37" s="503"/>
      <c r="K37" s="503"/>
      <c r="L37" s="501" t="s">
        <v>902</v>
      </c>
      <c r="M37" s="501"/>
      <c r="N37" s="501"/>
      <c r="O37" s="501"/>
      <c r="P37" s="503"/>
      <c r="Q37" s="503"/>
      <c r="R37" s="501" t="s">
        <v>903</v>
      </c>
      <c r="S37" s="400"/>
      <c r="T37" s="501" t="s">
        <v>900</v>
      </c>
      <c r="U37" s="400"/>
      <c r="V37" s="400"/>
      <c r="W37" s="400"/>
      <c r="X37" s="501" t="s">
        <v>901</v>
      </c>
      <c r="Y37" s="504"/>
      <c r="Z37" s="503"/>
      <c r="AB37" s="505"/>
    </row>
    <row r="38" spans="2:28" s="457" customFormat="1" ht="12">
      <c r="B38" s="446"/>
      <c r="C38" s="500"/>
      <c r="D38" s="501"/>
      <c r="E38" s="502"/>
      <c r="F38" s="502"/>
      <c r="G38" s="502"/>
      <c r="H38" s="503"/>
      <c r="I38" s="501"/>
      <c r="J38" s="503"/>
      <c r="K38" s="503"/>
      <c r="L38" s="501"/>
      <c r="M38" s="501"/>
      <c r="N38" s="501"/>
      <c r="O38" s="501"/>
      <c r="P38" s="503"/>
      <c r="Q38" s="503"/>
      <c r="R38" s="501"/>
      <c r="S38" s="400"/>
      <c r="T38" s="501"/>
      <c r="U38" s="400"/>
      <c r="V38" s="400"/>
      <c r="W38" s="400"/>
      <c r="X38" s="501"/>
      <c r="Y38" s="504"/>
      <c r="Z38" s="503"/>
      <c r="AB38" s="505"/>
    </row>
    <row r="39" spans="2:28" s="506" customFormat="1" ht="12">
      <c r="B39" s="506" t="s">
        <v>904</v>
      </c>
      <c r="C39" s="507"/>
      <c r="D39" s="506" t="s">
        <v>905</v>
      </c>
      <c r="E39" s="508"/>
      <c r="F39" s="508"/>
      <c r="H39" s="509"/>
      <c r="I39" s="510"/>
      <c r="J39" s="511"/>
      <c r="K39" s="511"/>
      <c r="L39" s="510"/>
      <c r="M39" s="510"/>
      <c r="N39" s="510"/>
      <c r="O39" s="510"/>
      <c r="P39" s="511"/>
      <c r="Q39" s="511"/>
      <c r="R39" s="510" t="s">
        <v>941</v>
      </c>
      <c r="S39" s="400"/>
      <c r="T39" s="511" t="s">
        <v>905</v>
      </c>
      <c r="U39" s="400"/>
      <c r="V39" s="400"/>
      <c r="W39" s="400"/>
      <c r="X39" s="510"/>
      <c r="Y39" s="512"/>
      <c r="Z39" s="509"/>
      <c r="AB39" s="513"/>
    </row>
    <row r="40" spans="3:28" s="506" customFormat="1" ht="49.5" customHeight="1">
      <c r="C40" s="507"/>
      <c r="E40" s="508"/>
      <c r="F40" s="508"/>
      <c r="H40" s="509"/>
      <c r="I40" s="510"/>
      <c r="J40" s="511"/>
      <c r="K40" s="511"/>
      <c r="L40" s="510"/>
      <c r="M40" s="510"/>
      <c r="N40" s="510"/>
      <c r="O40" s="510"/>
      <c r="P40" s="511"/>
      <c r="Q40" s="511"/>
      <c r="R40" s="510"/>
      <c r="S40" s="400"/>
      <c r="T40" s="511"/>
      <c r="U40" s="400"/>
      <c r="V40" s="400"/>
      <c r="W40" s="400"/>
      <c r="X40" s="510"/>
      <c r="Y40" s="512"/>
      <c r="Z40" s="509"/>
      <c r="AB40" s="513"/>
    </row>
    <row r="41" spans="3:28" ht="18.75" customHeight="1">
      <c r="C41" s="514" t="s">
        <v>906</v>
      </c>
      <c r="D41" s="515"/>
      <c r="E41" s="516"/>
      <c r="F41" s="516"/>
      <c r="G41" s="517"/>
      <c r="H41" s="612">
        <f>H35+K35+N35+Q35</f>
        <v>152469.30000000002</v>
      </c>
      <c r="AB41" s="519"/>
    </row>
    <row r="42" ht="12">
      <c r="J42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58"/>
  <sheetViews>
    <sheetView zoomScalePageLayoutView="0" workbookViewId="0" topLeftCell="B1">
      <pane ySplit="7" topLeftCell="A34" activePane="bottomLeft" state="frozen"/>
      <selection pane="topLeft" activeCell="C1" sqref="C1"/>
      <selection pane="bottomLeft" activeCell="T31" sqref="T31"/>
    </sheetView>
  </sheetViews>
  <sheetFormatPr defaultColWidth="11.7109375" defaultRowHeight="12.75"/>
  <cols>
    <col min="1" max="1" width="7.8515625" style="614" customWidth="1"/>
    <col min="2" max="2" width="17.140625" style="398" customWidth="1"/>
    <col min="3" max="3" width="30.7109375" style="520" customWidth="1"/>
    <col min="4" max="4" width="11.421875" style="403" customWidth="1"/>
    <col min="5" max="7" width="4.140625" style="397" customWidth="1"/>
    <col min="8" max="9" width="12.7109375" style="401" customWidth="1"/>
    <col min="10" max="16" width="12.140625" style="400" customWidth="1"/>
    <col min="17" max="19" width="12.421875" style="400" customWidth="1"/>
    <col min="20" max="22" width="10.7109375" style="400" customWidth="1"/>
    <col min="23" max="23" width="12.00390625" style="400" customWidth="1"/>
    <col min="24" max="24" width="10.7109375" style="400" customWidth="1"/>
    <col min="25" max="25" width="12.00390625" style="409" customWidth="1"/>
    <col min="26" max="26" width="12.421875" style="400" customWidth="1"/>
    <col min="27" max="27" width="10.7109375" style="407" customWidth="1"/>
    <col min="28" max="28" width="12.00390625" style="522" customWidth="1"/>
    <col min="29" max="29" width="15.421875" style="407" customWidth="1"/>
    <col min="30" max="32" width="10.7109375" style="407" customWidth="1"/>
    <col min="33" max="16384" width="11.7109375" style="407" customWidth="1"/>
  </cols>
  <sheetData>
    <row r="1" spans="1:36" s="397" customFormat="1" ht="16.5" customHeight="1">
      <c r="A1" s="613"/>
      <c r="B1" s="398"/>
      <c r="C1" s="55" t="s">
        <v>942</v>
      </c>
      <c r="D1" s="399"/>
      <c r="H1" s="400" t="s">
        <v>1016</v>
      </c>
      <c r="I1" s="401"/>
      <c r="J1" s="402" t="s">
        <v>853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402" t="s">
        <v>854</v>
      </c>
      <c r="AB1" s="405"/>
      <c r="AI1" s="406" t="s">
        <v>969</v>
      </c>
      <c r="AJ1" s="406" t="s">
        <v>970</v>
      </c>
    </row>
    <row r="2" spans="2:36" ht="12" customHeight="1" thickBot="1">
      <c r="B2" s="407"/>
      <c r="C2" s="408"/>
      <c r="D2" s="407"/>
      <c r="H2" s="400"/>
      <c r="I2" s="400"/>
      <c r="AB2" s="405"/>
      <c r="AI2" s="410" t="s">
        <v>971</v>
      </c>
      <c r="AJ2" s="411" t="s">
        <v>972</v>
      </c>
    </row>
    <row r="3" spans="1:36" s="412" customFormat="1" ht="18.75" customHeight="1" thickBot="1">
      <c r="A3" s="615"/>
      <c r="C3" s="413"/>
      <c r="D3" s="414"/>
      <c r="E3" s="832" t="s">
        <v>1018</v>
      </c>
      <c r="F3" s="833"/>
      <c r="G3" s="834"/>
      <c r="H3" s="415">
        <f>avr15!H30</f>
        <v>26724.32</v>
      </c>
      <c r="I3" s="415">
        <f>avr15!I30</f>
        <v>36261.240000000005</v>
      </c>
      <c r="J3" s="415">
        <f>avr15!J30</f>
        <v>26724.32</v>
      </c>
      <c r="K3" s="415">
        <f>avr15!K30</f>
        <v>38083.97</v>
      </c>
      <c r="L3" s="415">
        <f>avr15!L30</f>
        <v>0</v>
      </c>
      <c r="M3" s="415">
        <f>avr15!M30</f>
        <v>63232.73</v>
      </c>
      <c r="N3" s="415">
        <f>avr15!N30</f>
        <v>0</v>
      </c>
      <c r="O3" s="415">
        <f>avr15!O30</f>
        <v>77741.76</v>
      </c>
      <c r="P3" s="415">
        <f>avr15!P30</f>
        <v>0</v>
      </c>
      <c r="Q3" s="415">
        <f>avr15!Q30</f>
        <v>135.16</v>
      </c>
      <c r="R3" s="415">
        <f>avr15!R30</f>
        <v>2326.5200000000004</v>
      </c>
      <c r="S3" s="415">
        <f>avr15!S30</f>
        <v>91.8</v>
      </c>
      <c r="T3" s="415">
        <f>avr15!T30</f>
        <v>1612.28</v>
      </c>
      <c r="U3" s="415">
        <f>avr15!U30</f>
        <v>3379.51</v>
      </c>
      <c r="V3" s="415">
        <f>avr15!V30</f>
        <v>4420.5</v>
      </c>
      <c r="W3" s="415">
        <f>avr15!W30</f>
        <v>1744.9100000000003</v>
      </c>
      <c r="X3" s="415">
        <f>avr15!X30</f>
        <v>1148.8</v>
      </c>
      <c r="Y3" s="415">
        <f>avr15!Y30</f>
        <v>12000</v>
      </c>
      <c r="Z3" s="415">
        <f>avr15!Z30</f>
        <v>12000</v>
      </c>
      <c r="AA3" s="415">
        <f>avr15!AA30</f>
        <v>0</v>
      </c>
      <c r="AB3" s="415">
        <f>avr15!AB30</f>
        <v>22948.1</v>
      </c>
      <c r="AC3" s="415">
        <f>avr15!AC30</f>
        <v>20</v>
      </c>
      <c r="AD3" s="415">
        <f>avr15!AD30</f>
        <v>0</v>
      </c>
      <c r="AE3" s="415">
        <f>avr15!AE30</f>
        <v>1237.54</v>
      </c>
      <c r="AF3" s="415">
        <f>avr15!AF30</f>
        <v>55.6</v>
      </c>
      <c r="AI3" s="410" t="s">
        <v>973</v>
      </c>
      <c r="AJ3" s="410" t="s">
        <v>974</v>
      </c>
    </row>
    <row r="4" spans="1:36" s="412" customFormat="1" ht="14.25" customHeight="1" thickBot="1">
      <c r="A4" s="615"/>
      <c r="B4" s="416"/>
      <c r="C4" s="413"/>
      <c r="D4" s="414"/>
      <c r="E4" s="397"/>
      <c r="F4" s="397"/>
      <c r="G4" s="397"/>
      <c r="H4" s="803" t="s">
        <v>1019</v>
      </c>
      <c r="I4" s="865"/>
      <c r="J4" s="835" t="s">
        <v>910</v>
      </c>
      <c r="K4" s="835"/>
      <c r="L4" s="835"/>
      <c r="M4" s="835"/>
      <c r="N4" s="835"/>
      <c r="O4" s="835"/>
      <c r="P4" s="835"/>
      <c r="Q4" s="836"/>
      <c r="R4" s="844" t="s">
        <v>1020</v>
      </c>
      <c r="S4" s="845"/>
      <c r="T4" s="845"/>
      <c r="U4" s="845"/>
      <c r="V4" s="845"/>
      <c r="W4" s="845"/>
      <c r="X4" s="860"/>
      <c r="Y4" s="863">
        <v>58</v>
      </c>
      <c r="Z4" s="864"/>
      <c r="AA4" s="857" t="s">
        <v>1021</v>
      </c>
      <c r="AB4" s="838"/>
      <c r="AC4" s="838"/>
      <c r="AD4" s="838"/>
      <c r="AE4" s="838"/>
      <c r="AF4" s="839"/>
      <c r="AI4" s="410" t="s">
        <v>979</v>
      </c>
      <c r="AJ4" s="410" t="s">
        <v>980</v>
      </c>
    </row>
    <row r="5" spans="1:36" s="419" customFormat="1" ht="12.75" customHeight="1">
      <c r="A5" s="616"/>
      <c r="B5" s="420"/>
      <c r="C5" s="413"/>
      <c r="D5" s="421"/>
      <c r="E5" s="422"/>
      <c r="F5" s="422"/>
      <c r="G5" s="422"/>
      <c r="H5" s="866"/>
      <c r="I5" s="867"/>
      <c r="J5" s="850" t="s">
        <v>1022</v>
      </c>
      <c r="K5" s="851"/>
      <c r="L5" s="854" t="s">
        <v>1023</v>
      </c>
      <c r="M5" s="851"/>
      <c r="N5" s="828" t="s">
        <v>1024</v>
      </c>
      <c r="O5" s="825"/>
      <c r="P5" s="854" t="s">
        <v>1025</v>
      </c>
      <c r="Q5" s="851"/>
      <c r="R5" s="846"/>
      <c r="S5" s="847"/>
      <c r="T5" s="847"/>
      <c r="U5" s="847"/>
      <c r="V5" s="847"/>
      <c r="W5" s="847"/>
      <c r="X5" s="861"/>
      <c r="Y5" s="423" t="s">
        <v>1026</v>
      </c>
      <c r="Z5" s="424" t="s">
        <v>1026</v>
      </c>
      <c r="AA5" s="858"/>
      <c r="AB5" s="840"/>
      <c r="AC5" s="840"/>
      <c r="AD5" s="840"/>
      <c r="AE5" s="840"/>
      <c r="AF5" s="841"/>
      <c r="AI5" s="410" t="s">
        <v>981</v>
      </c>
      <c r="AJ5" s="410" t="s">
        <v>982</v>
      </c>
    </row>
    <row r="6" spans="1:36" ht="13.5" customHeight="1" thickBot="1">
      <c r="A6" s="617"/>
      <c r="B6" s="588"/>
      <c r="C6" s="408"/>
      <c r="D6" s="425"/>
      <c r="E6" s="422"/>
      <c r="F6" s="422"/>
      <c r="G6" s="422"/>
      <c r="H6" s="868"/>
      <c r="I6" s="869"/>
      <c r="J6" s="852"/>
      <c r="K6" s="853"/>
      <c r="L6" s="855"/>
      <c r="M6" s="853"/>
      <c r="N6" s="829"/>
      <c r="O6" s="827"/>
      <c r="P6" s="855"/>
      <c r="Q6" s="853"/>
      <c r="R6" s="848"/>
      <c r="S6" s="849"/>
      <c r="T6" s="849"/>
      <c r="U6" s="849"/>
      <c r="V6" s="849"/>
      <c r="W6" s="849"/>
      <c r="X6" s="862"/>
      <c r="Y6" s="426" t="s">
        <v>1027</v>
      </c>
      <c r="Z6" s="426" t="s">
        <v>1027</v>
      </c>
      <c r="AA6" s="859"/>
      <c r="AB6" s="842"/>
      <c r="AC6" s="842"/>
      <c r="AD6" s="842"/>
      <c r="AE6" s="842"/>
      <c r="AF6" s="843"/>
      <c r="AI6" s="410" t="s">
        <v>987</v>
      </c>
      <c r="AJ6" s="410" t="s">
        <v>988</v>
      </c>
    </row>
    <row r="7" spans="1:232" s="62" customFormat="1" ht="22.5" customHeight="1">
      <c r="A7" s="237" t="s">
        <v>1028</v>
      </c>
      <c r="B7" s="205" t="s">
        <v>1029</v>
      </c>
      <c r="C7" s="57" t="s">
        <v>970</v>
      </c>
      <c r="D7" s="58" t="s">
        <v>1030</v>
      </c>
      <c r="E7" s="56" t="s">
        <v>1031</v>
      </c>
      <c r="F7" s="56" t="s">
        <v>1032</v>
      </c>
      <c r="G7" s="534" t="s">
        <v>1033</v>
      </c>
      <c r="H7" s="600" t="s">
        <v>1034</v>
      </c>
      <c r="I7" s="579" t="s">
        <v>1035</v>
      </c>
      <c r="J7" s="600" t="s">
        <v>1036</v>
      </c>
      <c r="K7" s="579" t="s">
        <v>1037</v>
      </c>
      <c r="L7" s="600" t="s">
        <v>1036</v>
      </c>
      <c r="M7" s="579" t="s">
        <v>1037</v>
      </c>
      <c r="N7" s="600" t="s">
        <v>1036</v>
      </c>
      <c r="O7" s="579" t="s">
        <v>1037</v>
      </c>
      <c r="P7" s="600" t="s">
        <v>1036</v>
      </c>
      <c r="Q7" s="579" t="s">
        <v>1037</v>
      </c>
      <c r="R7" s="600" t="s">
        <v>1038</v>
      </c>
      <c r="S7" s="600" t="s">
        <v>1039</v>
      </c>
      <c r="T7" s="65" t="s">
        <v>1040</v>
      </c>
      <c r="U7" s="58" t="s">
        <v>1041</v>
      </c>
      <c r="V7" s="58" t="s">
        <v>1042</v>
      </c>
      <c r="W7" s="58" t="s">
        <v>913</v>
      </c>
      <c r="X7" s="564" t="s">
        <v>1044</v>
      </c>
      <c r="Y7" s="573" t="s">
        <v>1026</v>
      </c>
      <c r="Z7" s="574" t="s">
        <v>1026</v>
      </c>
      <c r="AA7" s="65" t="s">
        <v>855</v>
      </c>
      <c r="AB7" s="58" t="s">
        <v>915</v>
      </c>
      <c r="AC7" s="58" t="s">
        <v>1047</v>
      </c>
      <c r="AD7" s="58" t="s">
        <v>916</v>
      </c>
      <c r="AE7" s="58" t="s">
        <v>946</v>
      </c>
      <c r="AF7" s="58" t="s">
        <v>918</v>
      </c>
      <c r="AG7" s="66"/>
      <c r="AH7" s="66"/>
      <c r="AI7" s="410" t="s">
        <v>989</v>
      </c>
      <c r="AJ7" s="410" t="s">
        <v>990</v>
      </c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</row>
    <row r="8" spans="1:34" ht="18.75" customHeight="1">
      <c r="A8" s="618">
        <v>42128</v>
      </c>
      <c r="B8" s="532" t="s">
        <v>856</v>
      </c>
      <c r="C8" s="271" t="s">
        <v>857</v>
      </c>
      <c r="D8" s="273"/>
      <c r="E8" s="273"/>
      <c r="F8" s="273" t="s">
        <v>1054</v>
      </c>
      <c r="G8" s="273"/>
      <c r="H8" s="427">
        <f>J8+L8+N8+P8</f>
        <v>0</v>
      </c>
      <c r="I8" s="427">
        <f>K8+M8+O8+Q8</f>
        <v>30</v>
      </c>
      <c r="J8" s="275"/>
      <c r="K8" s="276"/>
      <c r="L8" s="277"/>
      <c r="M8" s="278"/>
      <c r="N8" s="391"/>
      <c r="O8" s="523"/>
      <c r="P8" s="279"/>
      <c r="Q8" s="280">
        <v>30</v>
      </c>
      <c r="R8" s="195"/>
      <c r="S8" s="195"/>
      <c r="T8" s="195"/>
      <c r="U8" s="195"/>
      <c r="V8" s="195"/>
      <c r="W8" s="195"/>
      <c r="X8" s="553"/>
      <c r="Y8" s="568"/>
      <c r="Z8" s="569"/>
      <c r="AA8" s="281"/>
      <c r="AB8" s="282"/>
      <c r="AC8" s="282"/>
      <c r="AD8" s="282">
        <v>30</v>
      </c>
      <c r="AE8" s="282"/>
      <c r="AF8" s="282"/>
      <c r="AG8" s="429"/>
      <c r="AH8" s="429"/>
    </row>
    <row r="9" spans="1:34" s="425" customFormat="1" ht="18.75" customHeight="1">
      <c r="A9" s="618">
        <v>42130</v>
      </c>
      <c r="B9" s="605" t="s">
        <v>858</v>
      </c>
      <c r="C9" s="271" t="s">
        <v>859</v>
      </c>
      <c r="D9" s="272" t="s">
        <v>860</v>
      </c>
      <c r="E9" s="273"/>
      <c r="F9" s="273" t="s">
        <v>1054</v>
      </c>
      <c r="G9" s="273"/>
      <c r="H9" s="427">
        <f aca="true" t="shared" si="0" ref="H9:H15">J9+L9+N9+P9</f>
        <v>0</v>
      </c>
      <c r="I9" s="427">
        <f aca="true" t="shared" si="1" ref="I9:I15">K9+M9+O9+Q9</f>
        <v>14</v>
      </c>
      <c r="J9" s="275"/>
      <c r="K9" s="276"/>
      <c r="L9" s="277"/>
      <c r="M9" s="278"/>
      <c r="N9" s="391"/>
      <c r="O9" s="523"/>
      <c r="P9" s="279"/>
      <c r="Q9" s="280">
        <v>14</v>
      </c>
      <c r="R9" s="195"/>
      <c r="S9" s="195"/>
      <c r="T9" s="195"/>
      <c r="U9" s="195"/>
      <c r="V9" s="195"/>
      <c r="W9" s="195"/>
      <c r="X9" s="553"/>
      <c r="Y9" s="568"/>
      <c r="Z9" s="569"/>
      <c r="AA9" s="281"/>
      <c r="AB9" s="282"/>
      <c r="AC9" s="282">
        <v>14</v>
      </c>
      <c r="AD9" s="282"/>
      <c r="AE9" s="282"/>
      <c r="AF9" s="282"/>
      <c r="AG9" s="531"/>
      <c r="AH9" s="531"/>
    </row>
    <row r="10" spans="1:34" ht="18.75" customHeight="1">
      <c r="A10" s="618">
        <v>42133</v>
      </c>
      <c r="B10" s="582" t="s">
        <v>861</v>
      </c>
      <c r="C10" s="271" t="s">
        <v>862</v>
      </c>
      <c r="D10" s="272" t="s">
        <v>863</v>
      </c>
      <c r="E10" s="273"/>
      <c r="F10" s="397" t="s">
        <v>1054</v>
      </c>
      <c r="G10" s="273"/>
      <c r="H10" s="427">
        <f t="shared" si="0"/>
        <v>0</v>
      </c>
      <c r="I10" s="427">
        <f t="shared" si="1"/>
        <v>20</v>
      </c>
      <c r="J10" s="288"/>
      <c r="K10" s="276"/>
      <c r="L10" s="277"/>
      <c r="M10" s="278"/>
      <c r="N10" s="391"/>
      <c r="O10" s="523"/>
      <c r="P10" s="279"/>
      <c r="Q10" s="280">
        <v>20</v>
      </c>
      <c r="R10" s="195"/>
      <c r="S10" s="195"/>
      <c r="T10" s="195"/>
      <c r="U10" s="195"/>
      <c r="V10" s="195"/>
      <c r="W10" s="195"/>
      <c r="X10" s="553"/>
      <c r="Y10" s="568"/>
      <c r="Z10" s="569"/>
      <c r="AA10" s="281"/>
      <c r="AB10" s="282"/>
      <c r="AC10" s="282">
        <v>20</v>
      </c>
      <c r="AD10" s="282"/>
      <c r="AE10" s="282"/>
      <c r="AF10" s="282"/>
      <c r="AG10" s="429"/>
      <c r="AH10" s="429"/>
    </row>
    <row r="11" spans="1:34" ht="18.75" customHeight="1">
      <c r="A11" s="618">
        <v>42126</v>
      </c>
      <c r="B11" s="283" t="s">
        <v>864</v>
      </c>
      <c r="C11" s="271" t="s">
        <v>865</v>
      </c>
      <c r="D11" s="619" t="s">
        <v>866</v>
      </c>
      <c r="E11" s="293"/>
      <c r="F11" s="293" t="s">
        <v>1054</v>
      </c>
      <c r="G11" s="293"/>
      <c r="H11" s="427">
        <f t="shared" si="0"/>
        <v>0</v>
      </c>
      <c r="I11" s="427">
        <f t="shared" si="1"/>
        <v>22</v>
      </c>
      <c r="J11" s="275"/>
      <c r="K11" s="276"/>
      <c r="L11" s="277"/>
      <c r="M11" s="278"/>
      <c r="N11" s="391"/>
      <c r="O11" s="523"/>
      <c r="P11" s="279"/>
      <c r="Q11" s="280">
        <v>22</v>
      </c>
      <c r="R11" s="195"/>
      <c r="S11" s="195"/>
      <c r="T11" s="195"/>
      <c r="U11" s="195"/>
      <c r="V11" s="195"/>
      <c r="W11" s="195"/>
      <c r="X11" s="553"/>
      <c r="Y11" s="568"/>
      <c r="Z11" s="569"/>
      <c r="AA11" s="281"/>
      <c r="AB11" s="282"/>
      <c r="AC11" s="282">
        <v>22</v>
      </c>
      <c r="AD11" s="282"/>
      <c r="AE11" s="282"/>
      <c r="AF11" s="282"/>
      <c r="AG11" s="429"/>
      <c r="AH11" s="429"/>
    </row>
    <row r="12" spans="1:34" ht="18.75" customHeight="1">
      <c r="A12" s="618">
        <v>42133</v>
      </c>
      <c r="B12" s="289" t="s">
        <v>864</v>
      </c>
      <c r="C12" s="527" t="s">
        <v>865</v>
      </c>
      <c r="D12" s="287" t="s">
        <v>867</v>
      </c>
      <c r="E12" s="273"/>
      <c r="F12" s="273" t="s">
        <v>1054</v>
      </c>
      <c r="G12" s="273"/>
      <c r="H12" s="427">
        <f t="shared" si="0"/>
        <v>0</v>
      </c>
      <c r="I12" s="427">
        <f t="shared" si="1"/>
        <v>8.5</v>
      </c>
      <c r="J12" s="275"/>
      <c r="K12" s="276"/>
      <c r="L12" s="277"/>
      <c r="M12" s="278"/>
      <c r="N12" s="391"/>
      <c r="O12" s="523"/>
      <c r="P12" s="279"/>
      <c r="Q12" s="280">
        <v>8.5</v>
      </c>
      <c r="R12" s="195"/>
      <c r="S12" s="195"/>
      <c r="T12" s="195"/>
      <c r="U12" s="195"/>
      <c r="V12" s="195"/>
      <c r="W12" s="195"/>
      <c r="X12" s="553"/>
      <c r="Y12" s="568"/>
      <c r="Z12" s="569"/>
      <c r="AA12" s="281"/>
      <c r="AB12" s="282"/>
      <c r="AC12" s="282">
        <v>8.5</v>
      </c>
      <c r="AD12" s="282"/>
      <c r="AE12" s="282"/>
      <c r="AF12" s="282"/>
      <c r="AG12" s="429"/>
      <c r="AH12" s="429"/>
    </row>
    <row r="13" spans="1:34" ht="18.75" customHeight="1">
      <c r="A13" s="618">
        <v>42146</v>
      </c>
      <c r="B13" s="292" t="s">
        <v>868</v>
      </c>
      <c r="C13" s="271" t="s">
        <v>859</v>
      </c>
      <c r="D13" s="272" t="s">
        <v>869</v>
      </c>
      <c r="E13" s="293"/>
      <c r="F13" s="293" t="s">
        <v>1054</v>
      </c>
      <c r="G13" s="293"/>
      <c r="H13" s="427">
        <f t="shared" si="0"/>
        <v>0</v>
      </c>
      <c r="I13" s="427">
        <f t="shared" si="1"/>
        <v>28</v>
      </c>
      <c r="J13" s="275"/>
      <c r="K13" s="276"/>
      <c r="L13" s="277"/>
      <c r="M13" s="278"/>
      <c r="N13" s="391"/>
      <c r="O13" s="523"/>
      <c r="P13" s="279"/>
      <c r="Q13" s="280">
        <v>28</v>
      </c>
      <c r="R13" s="195"/>
      <c r="S13" s="195"/>
      <c r="T13" s="195"/>
      <c r="U13" s="195"/>
      <c r="V13" s="195"/>
      <c r="W13" s="195"/>
      <c r="X13" s="553"/>
      <c r="Y13" s="568"/>
      <c r="Z13" s="569"/>
      <c r="AA13" s="281"/>
      <c r="AB13" s="282"/>
      <c r="AC13" s="282">
        <v>28</v>
      </c>
      <c r="AD13" s="282"/>
      <c r="AE13" s="282"/>
      <c r="AF13" s="282"/>
      <c r="AG13" s="429"/>
      <c r="AH13" s="429"/>
    </row>
    <row r="14" spans="1:34" ht="18.75" customHeight="1">
      <c r="A14" s="618">
        <v>42149</v>
      </c>
      <c r="B14" s="620" t="s">
        <v>868</v>
      </c>
      <c r="C14" s="532" t="s">
        <v>859</v>
      </c>
      <c r="D14" s="287" t="s">
        <v>870</v>
      </c>
      <c r="E14" s="273"/>
      <c r="F14" s="273" t="s">
        <v>1054</v>
      </c>
      <c r="G14" s="273"/>
      <c r="H14" s="427">
        <f t="shared" si="0"/>
        <v>0</v>
      </c>
      <c r="I14" s="427">
        <f t="shared" si="1"/>
        <v>14</v>
      </c>
      <c r="J14" s="275"/>
      <c r="K14" s="276"/>
      <c r="L14" s="277"/>
      <c r="M14" s="278"/>
      <c r="N14" s="391"/>
      <c r="O14" s="523"/>
      <c r="P14" s="279"/>
      <c r="Q14" s="280">
        <v>14</v>
      </c>
      <c r="R14" s="195"/>
      <c r="S14" s="195"/>
      <c r="T14" s="195"/>
      <c r="U14" s="195"/>
      <c r="V14" s="195"/>
      <c r="W14" s="195"/>
      <c r="X14" s="553"/>
      <c r="Y14" s="568"/>
      <c r="Z14" s="569"/>
      <c r="AA14" s="281"/>
      <c r="AB14" s="282"/>
      <c r="AC14" s="282">
        <v>14</v>
      </c>
      <c r="AD14" s="282"/>
      <c r="AE14" s="282"/>
      <c r="AF14" s="282"/>
      <c r="AG14" s="429"/>
      <c r="AH14" s="429"/>
    </row>
    <row r="15" spans="1:34" ht="18.75" customHeight="1">
      <c r="A15" s="618">
        <v>42151</v>
      </c>
      <c r="B15" s="283" t="s">
        <v>871</v>
      </c>
      <c r="C15" s="271" t="s">
        <v>872</v>
      </c>
      <c r="D15" s="272" t="s">
        <v>873</v>
      </c>
      <c r="E15" s="293"/>
      <c r="F15" s="293" t="s">
        <v>1054</v>
      </c>
      <c r="G15" s="293"/>
      <c r="H15" s="427">
        <f t="shared" si="0"/>
        <v>0</v>
      </c>
      <c r="I15" s="427">
        <f t="shared" si="1"/>
        <v>10</v>
      </c>
      <c r="J15" s="275"/>
      <c r="K15" s="276"/>
      <c r="L15" s="277"/>
      <c r="M15" s="278"/>
      <c r="N15" s="391"/>
      <c r="O15" s="523"/>
      <c r="P15" s="279"/>
      <c r="Q15" s="280">
        <v>10</v>
      </c>
      <c r="R15" s="195"/>
      <c r="S15" s="195"/>
      <c r="T15" s="195"/>
      <c r="U15" s="195"/>
      <c r="V15" s="195"/>
      <c r="W15" s="195"/>
      <c r="X15" s="553"/>
      <c r="Y15" s="568"/>
      <c r="Z15" s="569"/>
      <c r="AA15" s="281"/>
      <c r="AB15" s="282"/>
      <c r="AC15" s="282">
        <v>10</v>
      </c>
      <c r="AD15" s="282"/>
      <c r="AE15" s="282"/>
      <c r="AF15" s="282"/>
      <c r="AG15" s="429"/>
      <c r="AH15" s="429"/>
    </row>
    <row r="16" spans="1:34" ht="18.75" customHeight="1">
      <c r="A16" s="618">
        <v>42152</v>
      </c>
      <c r="B16" s="283" t="s">
        <v>874</v>
      </c>
      <c r="C16" s="271" t="s">
        <v>859</v>
      </c>
      <c r="D16" s="272" t="s">
        <v>875</v>
      </c>
      <c r="E16" s="293"/>
      <c r="F16" s="293" t="s">
        <v>1054</v>
      </c>
      <c r="G16" s="293"/>
      <c r="H16" s="427">
        <f aca="true" t="shared" si="2" ref="H16:H42">J16+L16+N16+P16</f>
        <v>0</v>
      </c>
      <c r="I16" s="427">
        <f aca="true" t="shared" si="3" ref="I16:I42">K16+M16+O16+Q16</f>
        <v>14</v>
      </c>
      <c r="J16" s="275"/>
      <c r="K16" s="276"/>
      <c r="L16" s="277"/>
      <c r="M16" s="278"/>
      <c r="N16" s="391"/>
      <c r="O16" s="523"/>
      <c r="P16" s="279"/>
      <c r="Q16" s="280">
        <v>14</v>
      </c>
      <c r="R16" s="195"/>
      <c r="S16" s="195"/>
      <c r="T16" s="195"/>
      <c r="U16" s="195"/>
      <c r="V16" s="195"/>
      <c r="W16" s="195"/>
      <c r="X16" s="553"/>
      <c r="Y16" s="568"/>
      <c r="Z16" s="569"/>
      <c r="AA16" s="281"/>
      <c r="AB16" s="282"/>
      <c r="AC16" s="282">
        <v>14</v>
      </c>
      <c r="AD16" s="282"/>
      <c r="AE16" s="282"/>
      <c r="AF16" s="282"/>
      <c r="AG16" s="429"/>
      <c r="AH16" s="429"/>
    </row>
    <row r="17" spans="1:32" s="522" customFormat="1" ht="18.75" customHeight="1">
      <c r="A17" s="618">
        <v>42151</v>
      </c>
      <c r="B17" s="283" t="s">
        <v>876</v>
      </c>
      <c r="C17" s="271" t="s">
        <v>877</v>
      </c>
      <c r="D17" s="272" t="s">
        <v>878</v>
      </c>
      <c r="E17" s="293"/>
      <c r="F17" s="293" t="s">
        <v>1054</v>
      </c>
      <c r="G17" s="293"/>
      <c r="H17" s="427">
        <f t="shared" si="2"/>
        <v>0</v>
      </c>
      <c r="I17" s="427">
        <f t="shared" si="3"/>
        <v>43.6</v>
      </c>
      <c r="J17" s="275"/>
      <c r="K17" s="276"/>
      <c r="L17" s="277"/>
      <c r="M17" s="278"/>
      <c r="N17" s="391"/>
      <c r="O17" s="523"/>
      <c r="P17" s="279"/>
      <c r="Q17" s="280">
        <v>43.6</v>
      </c>
      <c r="R17" s="195"/>
      <c r="S17" s="195"/>
      <c r="T17" s="195"/>
      <c r="U17" s="195"/>
      <c r="V17" s="195"/>
      <c r="W17" s="195"/>
      <c r="X17" s="553"/>
      <c r="Y17" s="568"/>
      <c r="Z17" s="569"/>
      <c r="AA17" s="281"/>
      <c r="AB17" s="282"/>
      <c r="AC17" s="282">
        <v>43.6</v>
      </c>
      <c r="AD17" s="282"/>
      <c r="AE17" s="282"/>
      <c r="AF17" s="282"/>
    </row>
    <row r="18" spans="1:34" ht="18.75" customHeight="1">
      <c r="A18" s="618">
        <v>42141</v>
      </c>
      <c r="B18" s="283" t="s">
        <v>879</v>
      </c>
      <c r="C18" s="286" t="s">
        <v>872</v>
      </c>
      <c r="D18" s="287" t="s">
        <v>880</v>
      </c>
      <c r="E18" s="293"/>
      <c r="F18" s="293" t="s">
        <v>1054</v>
      </c>
      <c r="G18" s="293"/>
      <c r="H18" s="427">
        <f t="shared" si="2"/>
        <v>0</v>
      </c>
      <c r="I18" s="427">
        <f t="shared" si="3"/>
        <v>10</v>
      </c>
      <c r="J18" s="275"/>
      <c r="K18" s="276"/>
      <c r="L18" s="277"/>
      <c r="M18" s="278"/>
      <c r="N18" s="391"/>
      <c r="O18" s="523"/>
      <c r="P18" s="279"/>
      <c r="Q18" s="280">
        <v>10</v>
      </c>
      <c r="R18" s="195"/>
      <c r="S18" s="195"/>
      <c r="T18" s="195"/>
      <c r="U18" s="195"/>
      <c r="V18" s="195"/>
      <c r="W18" s="236"/>
      <c r="X18" s="553"/>
      <c r="Y18" s="656"/>
      <c r="Z18" s="621"/>
      <c r="AA18" s="653"/>
      <c r="AB18" s="199"/>
      <c r="AC18" s="199">
        <v>10</v>
      </c>
      <c r="AD18" s="199"/>
      <c r="AE18" s="199"/>
      <c r="AF18" s="199"/>
      <c r="AG18" s="429"/>
      <c r="AH18" s="429"/>
    </row>
    <row r="19" spans="1:32" s="622" customFormat="1" ht="18.75" customHeight="1">
      <c r="A19" s="618">
        <v>42128</v>
      </c>
      <c r="B19" s="283" t="s">
        <v>881</v>
      </c>
      <c r="C19" s="286"/>
      <c r="D19" s="272" t="s">
        <v>882</v>
      </c>
      <c r="E19" s="293"/>
      <c r="F19" s="293"/>
      <c r="G19" s="293" t="s">
        <v>1054</v>
      </c>
      <c r="H19" s="427">
        <f t="shared" si="2"/>
        <v>784.14</v>
      </c>
      <c r="I19" s="427">
        <f t="shared" si="3"/>
        <v>0</v>
      </c>
      <c r="J19" s="275">
        <v>784.14</v>
      </c>
      <c r="K19" s="276"/>
      <c r="L19" s="277"/>
      <c r="M19" s="278"/>
      <c r="N19" s="391"/>
      <c r="O19" s="523"/>
      <c r="P19" s="279"/>
      <c r="Q19" s="280"/>
      <c r="R19" s="195"/>
      <c r="S19" s="195"/>
      <c r="T19" s="195"/>
      <c r="U19" s="195"/>
      <c r="V19" s="195"/>
      <c r="W19" s="236">
        <v>784.14</v>
      </c>
      <c r="X19" s="553"/>
      <c r="Y19" s="568"/>
      <c r="Z19" s="569"/>
      <c r="AA19" s="653"/>
      <c r="AB19" s="282"/>
      <c r="AC19" s="282"/>
      <c r="AD19" s="282"/>
      <c r="AE19" s="282"/>
      <c r="AF19" s="282"/>
    </row>
    <row r="20" spans="1:32" s="622" customFormat="1" ht="18.75" customHeight="1">
      <c r="A20" s="618">
        <v>42129</v>
      </c>
      <c r="B20" s="283" t="s">
        <v>823</v>
      </c>
      <c r="C20" s="286" t="s">
        <v>920</v>
      </c>
      <c r="D20" s="287" t="s">
        <v>1059</v>
      </c>
      <c r="E20" s="293"/>
      <c r="F20" s="293"/>
      <c r="G20" s="293"/>
      <c r="H20" s="427">
        <f t="shared" si="2"/>
        <v>0</v>
      </c>
      <c r="I20" s="427">
        <f t="shared" si="3"/>
        <v>250</v>
      </c>
      <c r="J20" s="275"/>
      <c r="K20" s="276">
        <v>250</v>
      </c>
      <c r="L20" s="277"/>
      <c r="M20" s="278"/>
      <c r="N20" s="391"/>
      <c r="O20" s="523"/>
      <c r="P20" s="279"/>
      <c r="Q20" s="280"/>
      <c r="R20" s="195"/>
      <c r="S20" s="195"/>
      <c r="T20" s="195"/>
      <c r="U20" s="195"/>
      <c r="V20" s="195"/>
      <c r="W20" s="195"/>
      <c r="X20" s="553"/>
      <c r="Y20" s="656"/>
      <c r="Z20" s="621"/>
      <c r="AA20" s="654"/>
      <c r="AB20" s="199">
        <v>250</v>
      </c>
      <c r="AC20" s="199"/>
      <c r="AD20" s="199"/>
      <c r="AE20" s="199"/>
      <c r="AF20" s="199"/>
    </row>
    <row r="21" spans="1:34" ht="18.75" customHeight="1">
      <c r="A21" s="618">
        <v>42129</v>
      </c>
      <c r="B21" s="283" t="s">
        <v>1051</v>
      </c>
      <c r="C21" s="286" t="s">
        <v>785</v>
      </c>
      <c r="D21" s="287" t="s">
        <v>882</v>
      </c>
      <c r="E21" s="293"/>
      <c r="F21" s="293"/>
      <c r="G21" s="293" t="s">
        <v>1054</v>
      </c>
      <c r="H21" s="427">
        <f t="shared" si="2"/>
        <v>15.3</v>
      </c>
      <c r="I21" s="427">
        <f t="shared" si="3"/>
        <v>0</v>
      </c>
      <c r="J21" s="275">
        <v>15.3</v>
      </c>
      <c r="K21" s="276"/>
      <c r="L21" s="277"/>
      <c r="M21" s="278"/>
      <c r="N21" s="391"/>
      <c r="O21" s="523"/>
      <c r="P21" s="279"/>
      <c r="Q21" s="280"/>
      <c r="R21" s="195"/>
      <c r="S21" s="195">
        <v>15.3</v>
      </c>
      <c r="T21" s="195"/>
      <c r="U21" s="195"/>
      <c r="V21" s="195"/>
      <c r="W21" s="195"/>
      <c r="X21" s="553"/>
      <c r="Y21" s="656"/>
      <c r="Z21" s="621"/>
      <c r="AA21" s="654"/>
      <c r="AB21" s="199"/>
      <c r="AC21" s="199"/>
      <c r="AD21" s="199"/>
      <c r="AE21" s="199"/>
      <c r="AF21" s="199"/>
      <c r="AG21" s="429"/>
      <c r="AH21" s="429"/>
    </row>
    <row r="22" spans="1:34" ht="18.75" customHeight="1">
      <c r="A22" s="618">
        <v>42130</v>
      </c>
      <c r="B22" s="283" t="s">
        <v>1051</v>
      </c>
      <c r="C22" s="286" t="s">
        <v>883</v>
      </c>
      <c r="D22" s="272" t="s">
        <v>884</v>
      </c>
      <c r="E22" s="293" t="s">
        <v>1054</v>
      </c>
      <c r="F22" s="293"/>
      <c r="G22" s="293"/>
      <c r="H22" s="427">
        <f t="shared" si="2"/>
        <v>0</v>
      </c>
      <c r="I22" s="427">
        <f t="shared" si="3"/>
        <v>1384.22</v>
      </c>
      <c r="J22" s="275"/>
      <c r="K22" s="276">
        <v>1384.22</v>
      </c>
      <c r="L22" s="277"/>
      <c r="M22" s="278"/>
      <c r="N22" s="391"/>
      <c r="O22" s="523"/>
      <c r="P22" s="279"/>
      <c r="Q22" s="280"/>
      <c r="R22" s="195"/>
      <c r="S22" s="195"/>
      <c r="T22" s="195"/>
      <c r="U22" s="195"/>
      <c r="V22" s="195"/>
      <c r="W22" s="195"/>
      <c r="X22" s="553"/>
      <c r="Y22" s="568"/>
      <c r="Z22" s="569"/>
      <c r="AA22" s="281"/>
      <c r="AB22" s="282">
        <v>1384.22</v>
      </c>
      <c r="AC22" s="282"/>
      <c r="AD22" s="282"/>
      <c r="AE22" s="282"/>
      <c r="AF22" s="282"/>
      <c r="AG22" s="429"/>
      <c r="AH22" s="429"/>
    </row>
    <row r="23" spans="1:34" ht="18.75" customHeight="1">
      <c r="A23" s="618">
        <v>42131</v>
      </c>
      <c r="B23" s="283" t="s">
        <v>674</v>
      </c>
      <c r="C23" s="271" t="s">
        <v>675</v>
      </c>
      <c r="D23" s="272" t="s">
        <v>676</v>
      </c>
      <c r="E23" s="293" t="s">
        <v>1054</v>
      </c>
      <c r="F23" s="293"/>
      <c r="G23" s="293"/>
      <c r="H23" s="427">
        <f t="shared" si="2"/>
        <v>98.45</v>
      </c>
      <c r="I23" s="427">
        <f t="shared" si="3"/>
        <v>0</v>
      </c>
      <c r="J23" s="275">
        <v>98.45</v>
      </c>
      <c r="K23" s="276"/>
      <c r="L23" s="277"/>
      <c r="M23" s="278"/>
      <c r="N23" s="391"/>
      <c r="O23" s="523"/>
      <c r="P23" s="279"/>
      <c r="Q23" s="280"/>
      <c r="R23" s="195"/>
      <c r="S23" s="195"/>
      <c r="T23" s="195"/>
      <c r="U23" s="195"/>
      <c r="V23" s="195">
        <v>98.45</v>
      </c>
      <c r="W23" s="195"/>
      <c r="X23" s="553"/>
      <c r="Y23" s="568"/>
      <c r="Z23" s="569"/>
      <c r="AA23" s="281"/>
      <c r="AB23" s="282"/>
      <c r="AC23" s="282"/>
      <c r="AD23" s="282"/>
      <c r="AE23" s="282"/>
      <c r="AF23" s="282"/>
      <c r="AG23" s="429"/>
      <c r="AH23" s="429"/>
    </row>
    <row r="24" spans="1:34" ht="18.75" customHeight="1">
      <c r="A24" s="618">
        <v>42135</v>
      </c>
      <c r="B24" s="283" t="s">
        <v>677</v>
      </c>
      <c r="C24" s="271" t="s">
        <v>678</v>
      </c>
      <c r="D24" s="272" t="s">
        <v>679</v>
      </c>
      <c r="E24" s="293" t="s">
        <v>1054</v>
      </c>
      <c r="F24" s="293"/>
      <c r="G24" s="293"/>
      <c r="H24" s="427">
        <f t="shared" si="2"/>
        <v>108.6</v>
      </c>
      <c r="I24" s="427">
        <f t="shared" si="3"/>
        <v>0</v>
      </c>
      <c r="J24" s="275">
        <v>108.6</v>
      </c>
      <c r="K24" s="276"/>
      <c r="L24" s="277"/>
      <c r="M24" s="278"/>
      <c r="N24" s="391"/>
      <c r="O24" s="523"/>
      <c r="P24" s="279"/>
      <c r="Q24" s="280"/>
      <c r="R24" s="195"/>
      <c r="S24" s="195"/>
      <c r="T24" s="195">
        <v>108.6</v>
      </c>
      <c r="U24" s="195"/>
      <c r="V24" s="647"/>
      <c r="W24" s="236"/>
      <c r="X24" s="553"/>
      <c r="Y24" s="568"/>
      <c r="Z24" s="569"/>
      <c r="AB24" s="282"/>
      <c r="AC24" s="282"/>
      <c r="AD24" s="282"/>
      <c r="AE24" s="282"/>
      <c r="AF24" s="282"/>
      <c r="AG24" s="429"/>
      <c r="AH24" s="429"/>
    </row>
    <row r="25" spans="1:34" ht="18.75" customHeight="1">
      <c r="A25" s="618">
        <v>42135</v>
      </c>
      <c r="B25" s="398" t="s">
        <v>1055</v>
      </c>
      <c r="C25" s="283" t="s">
        <v>1055</v>
      </c>
      <c r="D25" s="272" t="s">
        <v>882</v>
      </c>
      <c r="E25" s="293"/>
      <c r="F25" s="293"/>
      <c r="G25" s="293" t="s">
        <v>1054</v>
      </c>
      <c r="H25" s="427">
        <f t="shared" si="2"/>
        <v>31.98</v>
      </c>
      <c r="I25" s="427">
        <f t="shared" si="3"/>
        <v>0</v>
      </c>
      <c r="J25" s="275">
        <v>31.98</v>
      </c>
      <c r="K25" s="276"/>
      <c r="L25" s="277"/>
      <c r="M25" s="278"/>
      <c r="N25" s="391"/>
      <c r="O25" s="523"/>
      <c r="P25" s="279"/>
      <c r="Q25" s="280"/>
      <c r="R25" s="195"/>
      <c r="S25" s="195"/>
      <c r="T25" s="195">
        <v>31.98</v>
      </c>
      <c r="U25" s="195"/>
      <c r="V25" s="195"/>
      <c r="W25" s="195"/>
      <c r="X25" s="553"/>
      <c r="Y25" s="568"/>
      <c r="Z25" s="569"/>
      <c r="AA25" s="281"/>
      <c r="AB25" s="282"/>
      <c r="AC25" s="623"/>
      <c r="AD25" s="282"/>
      <c r="AE25" s="282"/>
      <c r="AF25" s="282"/>
      <c r="AG25" s="429"/>
      <c r="AH25" s="429"/>
    </row>
    <row r="26" spans="1:34" ht="18.75" customHeight="1">
      <c r="A26" s="618">
        <v>42139</v>
      </c>
      <c r="B26" s="283" t="s">
        <v>1055</v>
      </c>
      <c r="C26" s="271" t="s">
        <v>1055</v>
      </c>
      <c r="D26" s="272" t="s">
        <v>882</v>
      </c>
      <c r="E26" s="293"/>
      <c r="F26" s="293"/>
      <c r="G26" s="293" t="s">
        <v>1054</v>
      </c>
      <c r="H26" s="427">
        <f t="shared" si="2"/>
        <v>1.15</v>
      </c>
      <c r="I26" s="427">
        <f t="shared" si="3"/>
        <v>0</v>
      </c>
      <c r="J26" s="275">
        <v>1.15</v>
      </c>
      <c r="K26" s="276"/>
      <c r="L26" s="277"/>
      <c r="M26" s="278"/>
      <c r="N26" s="391"/>
      <c r="O26" s="523"/>
      <c r="P26" s="279"/>
      <c r="Q26" s="280"/>
      <c r="R26" s="195"/>
      <c r="S26" s="195"/>
      <c r="T26" s="195">
        <v>1.15</v>
      </c>
      <c r="U26" s="195"/>
      <c r="V26" s="195"/>
      <c r="W26" s="195"/>
      <c r="X26" s="553"/>
      <c r="Y26" s="568"/>
      <c r="Z26" s="569"/>
      <c r="AA26" s="281"/>
      <c r="AB26" s="282"/>
      <c r="AC26" s="623"/>
      <c r="AD26" s="282"/>
      <c r="AE26" s="282"/>
      <c r="AF26" s="282"/>
      <c r="AG26" s="429"/>
      <c r="AH26" s="429"/>
    </row>
    <row r="27" spans="1:34" ht="18.75" customHeight="1">
      <c r="A27" s="618">
        <v>42142</v>
      </c>
      <c r="B27" s="624" t="s">
        <v>680</v>
      </c>
      <c r="C27" s="625" t="s">
        <v>889</v>
      </c>
      <c r="D27" s="626" t="s">
        <v>890</v>
      </c>
      <c r="E27" s="627" t="s">
        <v>1054</v>
      </c>
      <c r="F27" s="627"/>
      <c r="G27" s="627"/>
      <c r="H27" s="427">
        <f t="shared" si="2"/>
        <v>53.2</v>
      </c>
      <c r="I27" s="427">
        <f t="shared" si="3"/>
        <v>0</v>
      </c>
      <c r="J27" s="628">
        <v>53.2</v>
      </c>
      <c r="K27" s="629"/>
      <c r="L27" s="630"/>
      <c r="M27" s="648"/>
      <c r="N27" s="649"/>
      <c r="O27" s="650"/>
      <c r="P27" s="631"/>
      <c r="Q27" s="632"/>
      <c r="R27" s="196"/>
      <c r="S27" s="196"/>
      <c r="T27" s="196"/>
      <c r="U27" s="196"/>
      <c r="V27" s="196">
        <v>53.2</v>
      </c>
      <c r="W27" s="196"/>
      <c r="X27" s="652"/>
      <c r="Y27" s="657"/>
      <c r="Z27" s="658"/>
      <c r="AA27" s="655"/>
      <c r="AB27" s="633"/>
      <c r="AC27" s="634"/>
      <c r="AD27" s="633"/>
      <c r="AE27" s="633"/>
      <c r="AF27" s="633"/>
      <c r="AG27" s="429"/>
      <c r="AH27" s="429"/>
    </row>
    <row r="28" spans="1:34" s="425" customFormat="1" ht="18.75" customHeight="1">
      <c r="A28" s="618">
        <v>42142</v>
      </c>
      <c r="B28" s="283" t="s">
        <v>891</v>
      </c>
      <c r="C28" s="271" t="s">
        <v>892</v>
      </c>
      <c r="D28" s="272" t="s">
        <v>893</v>
      </c>
      <c r="E28" s="293" t="s">
        <v>1054</v>
      </c>
      <c r="F28" s="293"/>
      <c r="G28" s="293"/>
      <c r="H28" s="427">
        <f t="shared" si="2"/>
        <v>70.8</v>
      </c>
      <c r="I28" s="427">
        <f t="shared" si="3"/>
        <v>0</v>
      </c>
      <c r="J28" s="195">
        <v>70.8</v>
      </c>
      <c r="K28" s="195"/>
      <c r="L28" s="635"/>
      <c r="M28" s="278"/>
      <c r="N28" s="391"/>
      <c r="O28" s="651"/>
      <c r="P28" s="298"/>
      <c r="Q28" s="298"/>
      <c r="R28" s="195"/>
      <c r="S28" s="195"/>
      <c r="T28" s="195"/>
      <c r="U28" s="195"/>
      <c r="V28" s="195">
        <v>70.8</v>
      </c>
      <c r="W28" s="195"/>
      <c r="X28" s="553"/>
      <c r="Y28" s="659"/>
      <c r="Z28" s="569"/>
      <c r="AA28" s="281"/>
      <c r="AB28" s="282"/>
      <c r="AC28" s="238"/>
      <c r="AD28" s="282"/>
      <c r="AE28" s="282"/>
      <c r="AF28" s="282"/>
      <c r="AG28" s="531"/>
      <c r="AH28" s="531"/>
    </row>
    <row r="29" spans="1:34" s="425" customFormat="1" ht="18.75" customHeight="1">
      <c r="A29" s="618">
        <v>42144</v>
      </c>
      <c r="B29" s="283" t="s">
        <v>986</v>
      </c>
      <c r="C29" s="271" t="s">
        <v>686</v>
      </c>
      <c r="D29" s="272" t="s">
        <v>687</v>
      </c>
      <c r="E29" s="293" t="s">
        <v>1054</v>
      </c>
      <c r="F29" s="293"/>
      <c r="G29" s="293"/>
      <c r="H29" s="427">
        <f t="shared" si="2"/>
        <v>96.58</v>
      </c>
      <c r="I29" s="427">
        <f t="shared" si="3"/>
        <v>0</v>
      </c>
      <c r="J29" s="195">
        <v>96.58</v>
      </c>
      <c r="K29" s="195"/>
      <c r="L29" s="635"/>
      <c r="M29" s="278"/>
      <c r="N29" s="391"/>
      <c r="O29" s="651"/>
      <c r="P29" s="298"/>
      <c r="Q29" s="298"/>
      <c r="R29" s="195"/>
      <c r="S29" s="195"/>
      <c r="T29" s="195">
        <v>34.2</v>
      </c>
      <c r="U29" s="798"/>
      <c r="V29" s="195"/>
      <c r="W29" s="195"/>
      <c r="X29" s="553">
        <v>62.38</v>
      </c>
      <c r="Y29" s="659"/>
      <c r="Z29" s="569"/>
      <c r="AA29" s="281"/>
      <c r="AB29" s="282"/>
      <c r="AC29" s="238"/>
      <c r="AD29" s="282"/>
      <c r="AE29" s="282"/>
      <c r="AF29" s="282"/>
      <c r="AG29" s="531"/>
      <c r="AH29" s="531"/>
    </row>
    <row r="30" spans="1:34" s="425" customFormat="1" ht="18.75" customHeight="1">
      <c r="A30" s="618">
        <v>42145</v>
      </c>
      <c r="B30" s="283" t="s">
        <v>674</v>
      </c>
      <c r="C30" s="271" t="s">
        <v>895</v>
      </c>
      <c r="D30" s="272" t="s">
        <v>896</v>
      </c>
      <c r="E30" s="293" t="s">
        <v>1054</v>
      </c>
      <c r="F30" s="293"/>
      <c r="G30" s="293"/>
      <c r="H30" s="427">
        <f t="shared" si="2"/>
        <v>48.24</v>
      </c>
      <c r="I30" s="427">
        <f t="shared" si="3"/>
        <v>0</v>
      </c>
      <c r="J30" s="195">
        <v>48.24</v>
      </c>
      <c r="K30" s="195"/>
      <c r="L30" s="635"/>
      <c r="M30" s="278"/>
      <c r="N30" s="391"/>
      <c r="O30" s="651"/>
      <c r="P30" s="298"/>
      <c r="Q30" s="298"/>
      <c r="R30" s="195"/>
      <c r="S30" s="195"/>
      <c r="T30" s="195"/>
      <c r="U30" s="195"/>
      <c r="V30" s="195">
        <v>48.24</v>
      </c>
      <c r="W30" s="195"/>
      <c r="X30" s="553"/>
      <c r="Y30" s="659"/>
      <c r="Z30" s="569"/>
      <c r="AA30" s="281"/>
      <c r="AB30" s="282"/>
      <c r="AC30" s="238"/>
      <c r="AD30" s="282"/>
      <c r="AE30" s="282"/>
      <c r="AF30" s="282"/>
      <c r="AG30" s="531"/>
      <c r="AH30" s="531"/>
    </row>
    <row r="31" spans="1:34" s="425" customFormat="1" ht="18.75" customHeight="1">
      <c r="A31" s="618">
        <v>42145</v>
      </c>
      <c r="B31" s="283" t="s">
        <v>804</v>
      </c>
      <c r="C31" s="271" t="s">
        <v>897</v>
      </c>
      <c r="D31" s="272" t="s">
        <v>695</v>
      </c>
      <c r="E31" s="293" t="s">
        <v>1054</v>
      </c>
      <c r="F31" s="293"/>
      <c r="G31" s="293"/>
      <c r="H31" s="427">
        <f t="shared" si="2"/>
        <v>71.88</v>
      </c>
      <c r="I31" s="427"/>
      <c r="J31" s="195">
        <v>71.88</v>
      </c>
      <c r="K31" s="195"/>
      <c r="L31" s="635"/>
      <c r="M31" s="278"/>
      <c r="N31" s="391"/>
      <c r="O31" s="651"/>
      <c r="P31" s="298"/>
      <c r="Q31" s="298"/>
      <c r="R31" s="195"/>
      <c r="S31" s="195"/>
      <c r="T31" s="798"/>
      <c r="U31" s="195"/>
      <c r="V31" s="195">
        <v>46</v>
      </c>
      <c r="W31" s="195">
        <v>25.88</v>
      </c>
      <c r="X31" s="553"/>
      <c r="Y31" s="659"/>
      <c r="Z31" s="569"/>
      <c r="AA31" s="281"/>
      <c r="AB31" s="282"/>
      <c r="AC31" s="238"/>
      <c r="AD31" s="282"/>
      <c r="AE31" s="282"/>
      <c r="AF31" s="282"/>
      <c r="AG31" s="531"/>
      <c r="AH31" s="531"/>
    </row>
    <row r="32" spans="1:34" s="425" customFormat="1" ht="18.75" customHeight="1">
      <c r="A32" s="618">
        <v>42146</v>
      </c>
      <c r="B32" s="283" t="s">
        <v>989</v>
      </c>
      <c r="C32" s="271" t="s">
        <v>989</v>
      </c>
      <c r="D32" s="272" t="s">
        <v>882</v>
      </c>
      <c r="E32" s="293"/>
      <c r="F32" s="293"/>
      <c r="G32" s="293" t="s">
        <v>1054</v>
      </c>
      <c r="H32" s="427">
        <f t="shared" si="2"/>
        <v>200.79</v>
      </c>
      <c r="I32" s="427"/>
      <c r="J32" s="195">
        <v>200.79</v>
      </c>
      <c r="K32" s="195"/>
      <c r="L32" s="635"/>
      <c r="M32" s="278"/>
      <c r="N32" s="391"/>
      <c r="O32" s="651"/>
      <c r="P32" s="298"/>
      <c r="Q32" s="298"/>
      <c r="R32" s="195"/>
      <c r="S32" s="195"/>
      <c r="T32" s="195"/>
      <c r="U32" s="195">
        <v>200.79</v>
      </c>
      <c r="V32" s="195"/>
      <c r="W32" s="195"/>
      <c r="X32" s="553"/>
      <c r="Y32" s="659"/>
      <c r="Z32" s="569"/>
      <c r="AA32" s="281"/>
      <c r="AB32" s="282"/>
      <c r="AC32" s="238"/>
      <c r="AD32" s="282"/>
      <c r="AE32" s="282"/>
      <c r="AF32" s="282"/>
      <c r="AG32" s="531"/>
      <c r="AH32" s="531"/>
    </row>
    <row r="33" spans="1:34" s="425" customFormat="1" ht="18.75" customHeight="1">
      <c r="A33" s="618">
        <v>42150</v>
      </c>
      <c r="B33" s="283" t="s">
        <v>696</v>
      </c>
      <c r="C33" s="271" t="s">
        <v>697</v>
      </c>
      <c r="D33" s="272" t="s">
        <v>698</v>
      </c>
      <c r="E33" s="293" t="s">
        <v>1054</v>
      </c>
      <c r="F33" s="293"/>
      <c r="G33" s="293"/>
      <c r="H33" s="427">
        <f t="shared" si="2"/>
        <v>37.45</v>
      </c>
      <c r="I33" s="427"/>
      <c r="J33" s="195">
        <v>37.45</v>
      </c>
      <c r="K33" s="195"/>
      <c r="L33" s="635"/>
      <c r="M33" s="278"/>
      <c r="N33" s="391"/>
      <c r="O33" s="651"/>
      <c r="P33" s="298"/>
      <c r="Q33" s="298"/>
      <c r="R33" s="195"/>
      <c r="S33" s="195"/>
      <c r="T33" s="195"/>
      <c r="U33" s="195"/>
      <c r="V33" s="195">
        <v>37.45</v>
      </c>
      <c r="W33" s="195"/>
      <c r="X33" s="553"/>
      <c r="Y33" s="659"/>
      <c r="Z33" s="569"/>
      <c r="AA33" s="281"/>
      <c r="AB33" s="282"/>
      <c r="AC33" s="238"/>
      <c r="AD33" s="282"/>
      <c r="AE33" s="282"/>
      <c r="AF33" s="282"/>
      <c r="AG33" s="531"/>
      <c r="AH33" s="531"/>
    </row>
    <row r="34" spans="1:34" s="425" customFormat="1" ht="18.75" customHeight="1">
      <c r="A34" s="618">
        <v>42150</v>
      </c>
      <c r="B34" s="283" t="s">
        <v>699</v>
      </c>
      <c r="C34" s="271" t="s">
        <v>700</v>
      </c>
      <c r="D34" s="272" t="s">
        <v>701</v>
      </c>
      <c r="E34" s="293" t="s">
        <v>1054</v>
      </c>
      <c r="F34" s="293"/>
      <c r="G34" s="293"/>
      <c r="H34" s="427">
        <f t="shared" si="2"/>
        <v>40.54</v>
      </c>
      <c r="I34" s="427"/>
      <c r="J34" s="195">
        <v>40.54</v>
      </c>
      <c r="K34" s="195"/>
      <c r="L34" s="635"/>
      <c r="M34" s="278"/>
      <c r="N34" s="391"/>
      <c r="O34" s="651"/>
      <c r="P34" s="298"/>
      <c r="Q34" s="298"/>
      <c r="R34" s="195"/>
      <c r="S34" s="195"/>
      <c r="T34" s="195">
        <v>40.54</v>
      </c>
      <c r="U34" s="195"/>
      <c r="V34" s="195"/>
      <c r="W34" s="195"/>
      <c r="X34" s="553"/>
      <c r="Y34" s="659"/>
      <c r="Z34" s="569"/>
      <c r="AA34" s="281"/>
      <c r="AB34" s="282"/>
      <c r="AC34" s="238"/>
      <c r="AD34" s="282"/>
      <c r="AE34" s="282"/>
      <c r="AF34" s="282"/>
      <c r="AG34" s="531"/>
      <c r="AH34" s="531"/>
    </row>
    <row r="35" spans="1:34" s="425" customFormat="1" ht="18.75" customHeight="1">
      <c r="A35" s="618">
        <v>42150</v>
      </c>
      <c r="B35" s="283" t="s">
        <v>702</v>
      </c>
      <c r="C35" s="271" t="s">
        <v>703</v>
      </c>
      <c r="D35" s="272" t="s">
        <v>704</v>
      </c>
      <c r="E35" s="293" t="s">
        <v>1054</v>
      </c>
      <c r="F35" s="293"/>
      <c r="G35" s="293"/>
      <c r="H35" s="427">
        <f t="shared" si="2"/>
        <v>136</v>
      </c>
      <c r="I35" s="427"/>
      <c r="J35" s="195">
        <v>136</v>
      </c>
      <c r="K35" s="195"/>
      <c r="L35" s="635"/>
      <c r="M35" s="278"/>
      <c r="N35" s="391"/>
      <c r="O35" s="651"/>
      <c r="P35" s="298"/>
      <c r="Q35" s="298"/>
      <c r="R35" s="195"/>
      <c r="S35" s="195"/>
      <c r="T35" s="195">
        <v>136</v>
      </c>
      <c r="U35" s="195"/>
      <c r="V35" s="195"/>
      <c r="W35" s="195"/>
      <c r="X35" s="553"/>
      <c r="Y35" s="659"/>
      <c r="Z35" s="569"/>
      <c r="AA35" s="281"/>
      <c r="AB35" s="282"/>
      <c r="AC35" s="238"/>
      <c r="AD35" s="282"/>
      <c r="AE35" s="282"/>
      <c r="AF35" s="282"/>
      <c r="AG35" s="531"/>
      <c r="AH35" s="531"/>
    </row>
    <row r="36" spans="1:34" s="425" customFormat="1" ht="18.75" customHeight="1">
      <c r="A36" s="618">
        <v>42150</v>
      </c>
      <c r="B36" s="283" t="s">
        <v>705</v>
      </c>
      <c r="C36" s="271" t="s">
        <v>706</v>
      </c>
      <c r="D36" s="272" t="s">
        <v>707</v>
      </c>
      <c r="E36" s="293" t="s">
        <v>1054</v>
      </c>
      <c r="F36" s="293"/>
      <c r="G36" s="293"/>
      <c r="H36" s="427">
        <f t="shared" si="2"/>
        <v>217.32</v>
      </c>
      <c r="I36" s="427"/>
      <c r="J36" s="195">
        <v>217.32</v>
      </c>
      <c r="K36" s="195"/>
      <c r="L36" s="635"/>
      <c r="M36" s="278"/>
      <c r="N36" s="391"/>
      <c r="O36" s="651"/>
      <c r="P36" s="298"/>
      <c r="Q36" s="298"/>
      <c r="R36" s="195"/>
      <c r="S36" s="195"/>
      <c r="T36" s="195"/>
      <c r="U36" s="195"/>
      <c r="V36" s="195">
        <v>217.32</v>
      </c>
      <c r="W36" s="195"/>
      <c r="X36" s="553"/>
      <c r="Y36" s="659"/>
      <c r="Z36" s="569"/>
      <c r="AA36" s="281"/>
      <c r="AB36" s="282"/>
      <c r="AC36" s="238"/>
      <c r="AD36" s="282"/>
      <c r="AE36" s="282"/>
      <c r="AF36" s="282"/>
      <c r="AG36" s="531"/>
      <c r="AH36" s="531"/>
    </row>
    <row r="37" spans="1:34" s="425" customFormat="1" ht="18.75" customHeight="1">
      <c r="A37" s="618">
        <v>42150</v>
      </c>
      <c r="B37" s="283" t="s">
        <v>708</v>
      </c>
      <c r="C37" s="271" t="s">
        <v>709</v>
      </c>
      <c r="D37" s="272" t="s">
        <v>710</v>
      </c>
      <c r="E37" s="293" t="s">
        <v>1054</v>
      </c>
      <c r="F37" s="293"/>
      <c r="G37" s="293"/>
      <c r="H37" s="427">
        <f t="shared" si="2"/>
        <v>594.23</v>
      </c>
      <c r="I37" s="427"/>
      <c r="J37" s="195">
        <v>594.23</v>
      </c>
      <c r="K37" s="195"/>
      <c r="L37" s="635"/>
      <c r="M37" s="278"/>
      <c r="N37" s="391"/>
      <c r="O37" s="651"/>
      <c r="P37" s="298"/>
      <c r="Q37" s="298"/>
      <c r="R37" s="195"/>
      <c r="S37" s="195"/>
      <c r="T37" s="195"/>
      <c r="U37" s="195"/>
      <c r="V37" s="195">
        <v>594.23</v>
      </c>
      <c r="W37" s="195"/>
      <c r="X37" s="553"/>
      <c r="Y37" s="659"/>
      <c r="Z37" s="569"/>
      <c r="AA37" s="281"/>
      <c r="AB37" s="282"/>
      <c r="AC37" s="238"/>
      <c r="AD37" s="282"/>
      <c r="AE37" s="282"/>
      <c r="AF37" s="282"/>
      <c r="AG37" s="531"/>
      <c r="AH37" s="531"/>
    </row>
    <row r="38" spans="1:34" s="425" customFormat="1" ht="18.75" customHeight="1">
      <c r="A38" s="618">
        <v>42153</v>
      </c>
      <c r="B38" s="283" t="s">
        <v>986</v>
      </c>
      <c r="C38" s="271" t="s">
        <v>711</v>
      </c>
      <c r="D38" s="272" t="s">
        <v>712</v>
      </c>
      <c r="E38" s="293" t="s">
        <v>1054</v>
      </c>
      <c r="F38" s="293"/>
      <c r="G38" s="293"/>
      <c r="H38" s="427">
        <f t="shared" si="2"/>
        <v>35.49</v>
      </c>
      <c r="I38" s="427"/>
      <c r="J38" s="195">
        <v>35.49</v>
      </c>
      <c r="K38" s="195"/>
      <c r="L38" s="635"/>
      <c r="M38" s="278"/>
      <c r="N38" s="391"/>
      <c r="O38" s="651"/>
      <c r="P38" s="298"/>
      <c r="Q38" s="298"/>
      <c r="R38" s="195"/>
      <c r="S38" s="195"/>
      <c r="T38" s="195"/>
      <c r="U38" s="195"/>
      <c r="V38" s="195"/>
      <c r="W38" s="195"/>
      <c r="X38" s="553">
        <v>35.49</v>
      </c>
      <c r="Y38" s="659"/>
      <c r="Z38" s="569"/>
      <c r="AA38" s="281"/>
      <c r="AB38" s="282"/>
      <c r="AC38" s="238"/>
      <c r="AD38" s="282"/>
      <c r="AE38" s="282"/>
      <c r="AF38" s="282"/>
      <c r="AG38" s="531"/>
      <c r="AH38" s="531"/>
    </row>
    <row r="39" spans="1:34" s="425" customFormat="1" ht="18.75" customHeight="1">
      <c r="A39" s="618">
        <v>42153</v>
      </c>
      <c r="B39" s="283" t="s">
        <v>804</v>
      </c>
      <c r="C39" s="271" t="s">
        <v>713</v>
      </c>
      <c r="D39" s="272" t="s">
        <v>714</v>
      </c>
      <c r="E39" s="293" t="s">
        <v>1054</v>
      </c>
      <c r="F39" s="293"/>
      <c r="G39" s="293"/>
      <c r="H39" s="427">
        <f t="shared" si="2"/>
        <v>37.1</v>
      </c>
      <c r="I39" s="427"/>
      <c r="J39" s="195">
        <v>37.1</v>
      </c>
      <c r="K39" s="195"/>
      <c r="L39" s="635"/>
      <c r="M39" s="278"/>
      <c r="N39" s="391"/>
      <c r="O39" s="651"/>
      <c r="P39" s="298"/>
      <c r="Q39" s="298"/>
      <c r="R39" s="195"/>
      <c r="S39" s="195"/>
      <c r="T39" s="195"/>
      <c r="U39" s="195"/>
      <c r="V39" s="195">
        <v>37.1</v>
      </c>
      <c r="W39" s="195"/>
      <c r="X39" s="553"/>
      <c r="Y39" s="659"/>
      <c r="Z39" s="569"/>
      <c r="AA39" s="281"/>
      <c r="AB39" s="282"/>
      <c r="AC39" s="238"/>
      <c r="AD39" s="282"/>
      <c r="AE39" s="282"/>
      <c r="AF39" s="282"/>
      <c r="AG39" s="531"/>
      <c r="AH39" s="531"/>
    </row>
    <row r="40" spans="1:34" s="425" customFormat="1" ht="18.75" customHeight="1">
      <c r="A40" s="618">
        <v>42153</v>
      </c>
      <c r="B40" s="283" t="s">
        <v>680</v>
      </c>
      <c r="C40" s="271" t="s">
        <v>889</v>
      </c>
      <c r="D40" s="272" t="s">
        <v>715</v>
      </c>
      <c r="E40" s="293" t="s">
        <v>1054</v>
      </c>
      <c r="F40" s="293"/>
      <c r="G40" s="293"/>
      <c r="H40" s="427">
        <f t="shared" si="2"/>
        <v>57.9</v>
      </c>
      <c r="I40" s="427"/>
      <c r="J40" s="195">
        <v>57.9</v>
      </c>
      <c r="K40" s="195"/>
      <c r="L40" s="635"/>
      <c r="M40" s="278"/>
      <c r="N40" s="391"/>
      <c r="O40" s="651"/>
      <c r="P40" s="298"/>
      <c r="Q40" s="298"/>
      <c r="R40" s="195"/>
      <c r="S40" s="195"/>
      <c r="T40" s="195"/>
      <c r="U40" s="195"/>
      <c r="V40" s="195">
        <v>57.9</v>
      </c>
      <c r="W40" s="195"/>
      <c r="X40" s="553"/>
      <c r="Y40" s="659"/>
      <c r="Z40" s="569"/>
      <c r="AA40" s="281"/>
      <c r="AB40" s="282"/>
      <c r="AC40" s="238"/>
      <c r="AD40" s="282"/>
      <c r="AE40" s="282"/>
      <c r="AF40" s="282"/>
      <c r="AG40" s="531"/>
      <c r="AH40" s="531"/>
    </row>
    <row r="41" spans="1:34" s="425" customFormat="1" ht="18.75" customHeight="1">
      <c r="A41" s="618">
        <v>42153</v>
      </c>
      <c r="B41" s="283" t="s">
        <v>804</v>
      </c>
      <c r="C41" s="271" t="s">
        <v>716</v>
      </c>
      <c r="D41" s="272" t="s">
        <v>717</v>
      </c>
      <c r="E41" s="293" t="s">
        <v>1054</v>
      </c>
      <c r="F41" s="293"/>
      <c r="G41" s="293"/>
      <c r="H41" s="427">
        <f t="shared" si="2"/>
        <v>1135.25</v>
      </c>
      <c r="I41" s="427"/>
      <c r="J41" s="195">
        <v>1135.25</v>
      </c>
      <c r="K41" s="195"/>
      <c r="L41" s="635"/>
      <c r="M41" s="278"/>
      <c r="N41" s="391"/>
      <c r="O41" s="651"/>
      <c r="P41" s="298"/>
      <c r="Q41" s="298"/>
      <c r="R41" s="195"/>
      <c r="S41" s="195"/>
      <c r="T41" s="195"/>
      <c r="U41" s="195"/>
      <c r="V41" s="195"/>
      <c r="W41" s="195">
        <v>1135.25</v>
      </c>
      <c r="X41" s="553"/>
      <c r="Y41" s="659"/>
      <c r="Z41" s="569"/>
      <c r="AA41" s="281"/>
      <c r="AB41" s="282"/>
      <c r="AC41" s="238"/>
      <c r="AD41" s="282"/>
      <c r="AE41" s="282"/>
      <c r="AF41" s="282"/>
      <c r="AG41" s="531"/>
      <c r="AH41" s="531"/>
    </row>
    <row r="42" spans="1:34" s="425" customFormat="1" ht="18.75" customHeight="1">
      <c r="A42" s="618"/>
      <c r="B42" s="283"/>
      <c r="C42" s="271"/>
      <c r="D42" s="272"/>
      <c r="E42" s="293"/>
      <c r="F42" s="293"/>
      <c r="G42" s="293"/>
      <c r="H42" s="427">
        <f t="shared" si="2"/>
        <v>0</v>
      </c>
      <c r="I42" s="427">
        <f t="shared" si="3"/>
        <v>0</v>
      </c>
      <c r="J42" s="195"/>
      <c r="K42" s="195"/>
      <c r="L42" s="635"/>
      <c r="M42" s="278"/>
      <c r="N42" s="391"/>
      <c r="O42" s="651"/>
      <c r="P42" s="298"/>
      <c r="Q42" s="298"/>
      <c r="R42" s="195"/>
      <c r="S42" s="195"/>
      <c r="T42" s="195"/>
      <c r="U42" s="195"/>
      <c r="V42" s="195"/>
      <c r="W42" s="195"/>
      <c r="X42" s="553"/>
      <c r="Y42" s="659"/>
      <c r="Z42" s="569"/>
      <c r="AA42" s="281"/>
      <c r="AB42" s="282"/>
      <c r="AC42" s="238"/>
      <c r="AD42" s="282"/>
      <c r="AE42" s="282"/>
      <c r="AF42" s="282"/>
      <c r="AG42" s="531"/>
      <c r="AH42" s="531"/>
    </row>
    <row r="43" spans="1:32" s="425" customFormat="1" ht="18.75" customHeight="1">
      <c r="A43" s="636"/>
      <c r="B43" s="637"/>
      <c r="C43" s="637"/>
      <c r="D43" s="638"/>
      <c r="E43" s="639"/>
      <c r="F43" s="639"/>
      <c r="G43" s="639"/>
      <c r="H43" s="640">
        <f>SUM(H8:H42)</f>
        <v>3872.39</v>
      </c>
      <c r="I43" s="641">
        <f>SUM(I8:I42)</f>
        <v>1848.3200000000002</v>
      </c>
      <c r="J43" s="642">
        <f>SUM(J8:J42)</f>
        <v>3872.39</v>
      </c>
      <c r="K43" s="642">
        <f aca="true" t="shared" si="4" ref="K43:AF43">SUM(K8:K42)</f>
        <v>1634.22</v>
      </c>
      <c r="L43" s="642">
        <f t="shared" si="4"/>
        <v>0</v>
      </c>
      <c r="M43" s="642">
        <f t="shared" si="4"/>
        <v>0</v>
      </c>
      <c r="N43" s="642">
        <f t="shared" si="4"/>
        <v>0</v>
      </c>
      <c r="O43" s="642">
        <f t="shared" si="4"/>
        <v>0</v>
      </c>
      <c r="P43" s="642">
        <f t="shared" si="4"/>
        <v>0</v>
      </c>
      <c r="Q43" s="642">
        <f t="shared" si="4"/>
        <v>214.1</v>
      </c>
      <c r="R43" s="642">
        <f t="shared" si="4"/>
        <v>0</v>
      </c>
      <c r="S43" s="642">
        <f t="shared" si="4"/>
        <v>15.3</v>
      </c>
      <c r="T43" s="642">
        <f>SUM(T8:T42)</f>
        <v>352.47</v>
      </c>
      <c r="U43" s="642">
        <f t="shared" si="4"/>
        <v>200.79</v>
      </c>
      <c r="V43" s="642">
        <f t="shared" si="4"/>
        <v>1260.69</v>
      </c>
      <c r="W43" s="642">
        <f t="shared" si="4"/>
        <v>1945.27</v>
      </c>
      <c r="X43" s="642">
        <f t="shared" si="4"/>
        <v>97.87</v>
      </c>
      <c r="Y43" s="642">
        <f t="shared" si="4"/>
        <v>0</v>
      </c>
      <c r="Z43" s="642">
        <f t="shared" si="4"/>
        <v>0</v>
      </c>
      <c r="AA43" s="642">
        <f t="shared" si="4"/>
        <v>0</v>
      </c>
      <c r="AB43" s="642">
        <f t="shared" si="4"/>
        <v>1634.22</v>
      </c>
      <c r="AC43" s="642">
        <f t="shared" si="4"/>
        <v>184.1</v>
      </c>
      <c r="AD43" s="642">
        <f t="shared" si="4"/>
        <v>30</v>
      </c>
      <c r="AE43" s="642">
        <f t="shared" si="4"/>
        <v>0</v>
      </c>
      <c r="AF43" s="642">
        <f t="shared" si="4"/>
        <v>0</v>
      </c>
    </row>
    <row r="44" spans="2:32" ht="12">
      <c r="B44" s="441"/>
      <c r="C44" s="441"/>
      <c r="D44" s="442"/>
      <c r="E44" s="422"/>
      <c r="F44" s="422"/>
      <c r="G44" s="422"/>
      <c r="H44" s="443"/>
      <c r="I44" s="443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</row>
    <row r="45" spans="1:32" s="445" customFormat="1" ht="18.75" customHeight="1" thickBot="1">
      <c r="A45" s="643"/>
      <c r="B45" s="446"/>
      <c r="C45" s="446"/>
      <c r="D45" s="407"/>
      <c r="E45" s="397"/>
      <c r="F45" s="397"/>
      <c r="G45" s="447" t="s">
        <v>1066</v>
      </c>
      <c r="H45" s="448">
        <f>(J43+L43+N43+P43)-Y43</f>
        <v>3872.39</v>
      </c>
      <c r="J45" s="449"/>
      <c r="K45" s="400"/>
      <c r="N45" s="449"/>
      <c r="O45" s="449" t="s">
        <v>1067</v>
      </c>
      <c r="P45" s="450">
        <f>(K43+M43+O43+Q43)-Z43</f>
        <v>1848.32</v>
      </c>
      <c r="Q45" s="451"/>
      <c r="T45" s="449" t="s">
        <v>1068</v>
      </c>
      <c r="U45" s="549">
        <f>(R43+S43+T43+U43+V43+W43+X43)</f>
        <v>3872.39</v>
      </c>
      <c r="V45" s="453"/>
      <c r="W45" s="453"/>
      <c r="X45" s="453"/>
      <c r="Y45" s="454"/>
      <c r="AA45" s="455"/>
      <c r="AC45" s="447" t="s">
        <v>885</v>
      </c>
      <c r="AD45" s="550">
        <f>(AA43+AB43+AC43+AD43+AE43+AF43)</f>
        <v>1848.32</v>
      </c>
      <c r="AE45" s="453"/>
      <c r="AF45" s="453"/>
    </row>
    <row r="46" spans="1:32" s="457" customFormat="1" ht="18.75" customHeight="1" thickBot="1">
      <c r="A46" s="644"/>
      <c r="B46" s="458"/>
      <c r="C46" s="459" t="s">
        <v>718</v>
      </c>
      <c r="D46" s="460"/>
      <c r="E46" s="397"/>
      <c r="F46" s="397"/>
      <c r="G46" s="461"/>
      <c r="H46" s="462">
        <f aca="true" t="shared" si="5" ref="H46:AF46">SUM(H3+H43)</f>
        <v>30596.71</v>
      </c>
      <c r="I46" s="463">
        <f t="shared" si="5"/>
        <v>38109.560000000005</v>
      </c>
      <c r="J46" s="464">
        <f t="shared" si="5"/>
        <v>30596.71</v>
      </c>
      <c r="K46" s="464">
        <f t="shared" si="5"/>
        <v>39718.19</v>
      </c>
      <c r="L46" s="464">
        <f t="shared" si="5"/>
        <v>0</v>
      </c>
      <c r="M46" s="464">
        <f t="shared" si="5"/>
        <v>63232.73</v>
      </c>
      <c r="N46" s="464">
        <f t="shared" si="5"/>
        <v>0</v>
      </c>
      <c r="O46" s="464">
        <f t="shared" si="5"/>
        <v>77741.76</v>
      </c>
      <c r="P46" s="464">
        <f t="shared" si="5"/>
        <v>0</v>
      </c>
      <c r="Q46" s="464">
        <f t="shared" si="5"/>
        <v>349.26</v>
      </c>
      <c r="R46" s="464">
        <f t="shared" si="5"/>
        <v>2326.5200000000004</v>
      </c>
      <c r="S46" s="464">
        <f t="shared" si="5"/>
        <v>107.1</v>
      </c>
      <c r="T46" s="464">
        <f t="shared" si="5"/>
        <v>1964.75</v>
      </c>
      <c r="U46" s="464">
        <f t="shared" si="5"/>
        <v>3580.3</v>
      </c>
      <c r="V46" s="464">
        <f t="shared" si="5"/>
        <v>5681.1900000000005</v>
      </c>
      <c r="W46" s="464">
        <f t="shared" si="5"/>
        <v>3690.1800000000003</v>
      </c>
      <c r="X46" s="464">
        <f t="shared" si="5"/>
        <v>1246.67</v>
      </c>
      <c r="Y46" s="464">
        <f t="shared" si="5"/>
        <v>12000</v>
      </c>
      <c r="Z46" s="464">
        <f t="shared" si="5"/>
        <v>12000</v>
      </c>
      <c r="AA46" s="464">
        <f t="shared" si="5"/>
        <v>0</v>
      </c>
      <c r="AB46" s="464">
        <f t="shared" si="5"/>
        <v>24582.32</v>
      </c>
      <c r="AC46" s="464">
        <f t="shared" si="5"/>
        <v>204.1</v>
      </c>
      <c r="AD46" s="464">
        <f t="shared" si="5"/>
        <v>30</v>
      </c>
      <c r="AE46" s="464">
        <f t="shared" si="5"/>
        <v>1237.54</v>
      </c>
      <c r="AF46" s="464">
        <f t="shared" si="5"/>
        <v>55.6</v>
      </c>
    </row>
    <row r="47" spans="1:32" s="457" customFormat="1" ht="12.75" thickBot="1">
      <c r="A47" s="644"/>
      <c r="B47" s="458"/>
      <c r="C47" s="458"/>
      <c r="D47" s="460"/>
      <c r="E47" s="397"/>
      <c r="F47" s="397"/>
      <c r="G47" s="461"/>
      <c r="H47" s="465"/>
      <c r="I47" s="466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</row>
    <row r="48" spans="1:32" s="445" customFormat="1" ht="18.75" customHeight="1" thickBot="1">
      <c r="A48" s="643"/>
      <c r="B48" s="458"/>
      <c r="C48" s="468"/>
      <c r="D48" s="407"/>
      <c r="E48" s="397"/>
      <c r="F48" s="397"/>
      <c r="G48" s="447" t="s">
        <v>887</v>
      </c>
      <c r="H48" s="469">
        <f>(J46+L46+P46)-Y46</f>
        <v>18596.71</v>
      </c>
      <c r="J48" s="449"/>
      <c r="K48" s="400"/>
      <c r="N48" s="449"/>
      <c r="O48" s="449" t="s">
        <v>938</v>
      </c>
      <c r="P48" s="450">
        <f>(K46+M46+O46+Q46)-Y46</f>
        <v>169041.94</v>
      </c>
      <c r="Q48" s="451"/>
      <c r="R48" s="449" t="s">
        <v>887</v>
      </c>
      <c r="S48" s="452">
        <f>(R46+S46+T46+U46+V46+W46+X46)</f>
        <v>18596.71</v>
      </c>
      <c r="T48" s="453"/>
      <c r="U48" s="453"/>
      <c r="V48" s="453"/>
      <c r="W48" s="453"/>
      <c r="X48" s="453"/>
      <c r="Y48" s="470"/>
      <c r="AA48" s="455"/>
      <c r="AB48" s="447" t="s">
        <v>1069</v>
      </c>
      <c r="AC48" s="456">
        <f>(AA46+AB46+AC46+AD46+AE46+AF46)</f>
        <v>26109.559999999998</v>
      </c>
      <c r="AD48" s="453"/>
      <c r="AE48" s="453"/>
      <c r="AF48" s="453"/>
    </row>
    <row r="49" spans="2:28" ht="18.75" customHeight="1" thickBot="1">
      <c r="B49" s="458"/>
      <c r="C49" s="471" t="s">
        <v>852</v>
      </c>
      <c r="D49" s="472" t="s">
        <v>1071</v>
      </c>
      <c r="E49" s="473"/>
      <c r="F49" s="473"/>
      <c r="G49" s="473"/>
      <c r="H49" s="474">
        <f>avr15!H35</f>
        <v>11359.649999999998</v>
      </c>
      <c r="I49" s="475"/>
      <c r="J49" s="476" t="s">
        <v>1072</v>
      </c>
      <c r="K49" s="474">
        <f>avr15!K35</f>
        <v>63232.73</v>
      </c>
      <c r="L49" s="477"/>
      <c r="M49" s="343" t="s">
        <v>1073</v>
      </c>
      <c r="N49" s="601">
        <f>avr15!N35</f>
        <v>77741.76</v>
      </c>
      <c r="O49" s="477"/>
      <c r="P49" s="478" t="s">
        <v>981</v>
      </c>
      <c r="Q49" s="474">
        <f>avr15!Q35</f>
        <v>135.16</v>
      </c>
      <c r="AB49" s="479"/>
    </row>
    <row r="50" spans="1:28" s="480" customFormat="1" ht="12.75" thickBot="1">
      <c r="A50" s="645"/>
      <c r="B50" s="425"/>
      <c r="C50" s="481" t="s">
        <v>894</v>
      </c>
      <c r="D50" s="482"/>
      <c r="E50" s="397"/>
      <c r="F50" s="397"/>
      <c r="G50" s="397"/>
      <c r="H50" s="483"/>
      <c r="I50" s="484"/>
      <c r="J50" s="483"/>
      <c r="K50" s="483"/>
      <c r="L50" s="484"/>
      <c r="M50" s="484"/>
      <c r="N50" s="484"/>
      <c r="O50" s="484"/>
      <c r="P50" s="483"/>
      <c r="Q50" s="400"/>
      <c r="R50" s="485"/>
      <c r="S50" s="476" t="s">
        <v>1074</v>
      </c>
      <c r="T50" s="486"/>
      <c r="U50" s="487"/>
      <c r="V50" s="487"/>
      <c r="W50" s="487"/>
      <c r="X50" s="476" t="s">
        <v>1075</v>
      </c>
      <c r="Y50" s="488"/>
      <c r="Z50" s="486"/>
      <c r="AB50" s="405"/>
    </row>
    <row r="51" spans="2:28" ht="18.75" customHeight="1" thickBot="1" thickTop="1">
      <c r="B51" s="489"/>
      <c r="C51" s="490" t="s">
        <v>719</v>
      </c>
      <c r="D51" s="491" t="s">
        <v>1071</v>
      </c>
      <c r="E51" s="492"/>
      <c r="F51" s="492"/>
      <c r="G51" s="492"/>
      <c r="H51" s="493">
        <f>SUM(H49+K43)-(J43)</f>
        <v>9121.479999999998</v>
      </c>
      <c r="I51" s="494"/>
      <c r="J51" s="495" t="s">
        <v>1072</v>
      </c>
      <c r="K51" s="493">
        <f>K49+M43-L43</f>
        <v>63232.73</v>
      </c>
      <c r="M51" s="343" t="s">
        <v>1073</v>
      </c>
      <c r="N51" s="602">
        <f>N49+O43-N43</f>
        <v>77741.76</v>
      </c>
      <c r="P51" s="495" t="s">
        <v>981</v>
      </c>
      <c r="Q51" s="493">
        <f>SUM(Q49+Q43)-(P43)</f>
        <v>349.26</v>
      </c>
      <c r="R51" s="496"/>
      <c r="S51" s="495" t="s">
        <v>1077</v>
      </c>
      <c r="T51" s="497"/>
      <c r="X51" s="495" t="s">
        <v>898</v>
      </c>
      <c r="Y51" s="498"/>
      <c r="Z51" s="497"/>
      <c r="AB51" s="499"/>
    </row>
    <row r="52" spans="2:28" ht="18.75" customHeight="1" thickTop="1">
      <c r="B52" s="489"/>
      <c r="C52" s="489"/>
      <c r="D52" s="538"/>
      <c r="E52" s="422"/>
      <c r="F52" s="422"/>
      <c r="G52" s="422"/>
      <c r="H52" s="539"/>
      <c r="I52" s="494"/>
      <c r="J52" s="496"/>
      <c r="K52" s="539"/>
      <c r="M52" s="353"/>
      <c r="N52" s="603"/>
      <c r="P52" s="496"/>
      <c r="Q52" s="539"/>
      <c r="R52" s="496"/>
      <c r="S52" s="496"/>
      <c r="T52" s="540"/>
      <c r="X52" s="496"/>
      <c r="Y52" s="498"/>
      <c r="Z52" s="540"/>
      <c r="AB52" s="499"/>
    </row>
    <row r="53" spans="1:28" s="457" customFormat="1" ht="12">
      <c r="A53" s="644"/>
      <c r="B53" s="446" t="s">
        <v>899</v>
      </c>
      <c r="C53" s="500"/>
      <c r="D53" s="501" t="s">
        <v>900</v>
      </c>
      <c r="E53" s="502"/>
      <c r="F53" s="502"/>
      <c r="G53" s="502"/>
      <c r="H53" s="503"/>
      <c r="I53" s="501" t="s">
        <v>901</v>
      </c>
      <c r="J53" s="503"/>
      <c r="K53" s="503"/>
      <c r="L53" s="501" t="s">
        <v>902</v>
      </c>
      <c r="M53" s="501"/>
      <c r="N53" s="501"/>
      <c r="O53" s="501"/>
      <c r="P53" s="503"/>
      <c r="Q53" s="503"/>
      <c r="R53" s="501" t="s">
        <v>903</v>
      </c>
      <c r="S53" s="400"/>
      <c r="T53" s="501" t="s">
        <v>900</v>
      </c>
      <c r="U53" s="400"/>
      <c r="V53" s="400"/>
      <c r="W53" s="400"/>
      <c r="X53" s="501" t="s">
        <v>901</v>
      </c>
      <c r="Y53" s="504"/>
      <c r="Z53" s="503"/>
      <c r="AB53" s="501" t="s">
        <v>902</v>
      </c>
    </row>
    <row r="54" spans="1:28" s="457" customFormat="1" ht="12">
      <c r="A54" s="644"/>
      <c r="B54" s="446"/>
      <c r="C54" s="500"/>
      <c r="D54" s="501"/>
      <c r="E54" s="502"/>
      <c r="F54" s="502"/>
      <c r="G54" s="502"/>
      <c r="H54" s="503"/>
      <c r="I54" s="501"/>
      <c r="J54" s="503"/>
      <c r="K54" s="503"/>
      <c r="L54" s="501"/>
      <c r="M54" s="501"/>
      <c r="N54" s="501"/>
      <c r="O54" s="501"/>
      <c r="P54" s="503"/>
      <c r="Q54" s="503"/>
      <c r="R54" s="501"/>
      <c r="S54" s="400"/>
      <c r="T54" s="501"/>
      <c r="U54" s="400"/>
      <c r="V54" s="400"/>
      <c r="W54" s="400"/>
      <c r="X54" s="501"/>
      <c r="Y54" s="504"/>
      <c r="Z54" s="503"/>
      <c r="AB54" s="505"/>
    </row>
    <row r="55" spans="1:28" s="506" customFormat="1" ht="12">
      <c r="A55" s="646"/>
      <c r="B55" s="533" t="s">
        <v>904</v>
      </c>
      <c r="C55" s="507" t="s">
        <v>894</v>
      </c>
      <c r="D55" s="506" t="s">
        <v>905</v>
      </c>
      <c r="E55" s="508"/>
      <c r="F55" s="508"/>
      <c r="H55" s="509"/>
      <c r="I55" s="510"/>
      <c r="J55" s="511"/>
      <c r="K55" s="511"/>
      <c r="L55" s="510"/>
      <c r="M55" s="510"/>
      <c r="N55" s="510"/>
      <c r="O55" s="510"/>
      <c r="P55" s="511"/>
      <c r="Q55" s="511"/>
      <c r="R55" s="511" t="s">
        <v>904</v>
      </c>
      <c r="S55" s="400"/>
      <c r="T55" s="511" t="s">
        <v>905</v>
      </c>
      <c r="U55" s="400"/>
      <c r="V55" s="400"/>
      <c r="W55" s="400"/>
      <c r="X55" s="510"/>
      <c r="Y55" s="512"/>
      <c r="Z55" s="509"/>
      <c r="AB55" s="513"/>
    </row>
    <row r="56" spans="1:28" s="506" customFormat="1" ht="57" customHeight="1">
      <c r="A56" s="646"/>
      <c r="B56" s="533"/>
      <c r="C56" s="507"/>
      <c r="E56" s="508"/>
      <c r="F56" s="508"/>
      <c r="H56" s="509"/>
      <c r="I56" s="510"/>
      <c r="J56" s="511"/>
      <c r="K56" s="511"/>
      <c r="L56" s="510"/>
      <c r="M56" s="510"/>
      <c r="N56" s="510"/>
      <c r="O56" s="510"/>
      <c r="P56" s="511"/>
      <c r="Q56" s="511"/>
      <c r="R56" s="511"/>
      <c r="S56" s="400"/>
      <c r="T56" s="511"/>
      <c r="U56" s="400"/>
      <c r="V56" s="400"/>
      <c r="W56" s="400"/>
      <c r="X56" s="510"/>
      <c r="Y56" s="512"/>
      <c r="Z56" s="509"/>
      <c r="AB56" s="513"/>
    </row>
    <row r="57" spans="3:28" ht="18.75" customHeight="1">
      <c r="C57" s="514" t="s">
        <v>906</v>
      </c>
      <c r="D57" s="515"/>
      <c r="E57" s="516"/>
      <c r="F57" s="516"/>
      <c r="G57" s="517"/>
      <c r="H57" s="518">
        <f>H51+K51+N51+Q51</f>
        <v>150445.23</v>
      </c>
      <c r="AB57" s="519"/>
    </row>
    <row r="58" ht="12">
      <c r="J58" s="521"/>
    </row>
  </sheetData>
  <sheetProtection/>
  <printOptions horizontalCentered="1" verticalCentered="1"/>
  <pageMargins left="0" right="0" top="0" bottom="0" header="0" footer="0"/>
  <pageSetup fitToWidth="2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de Microsoft Office</cp:lastModifiedBy>
  <cp:lastPrinted>2012-12-28T10:52:04Z</cp:lastPrinted>
  <dcterms:created xsi:type="dcterms:W3CDTF">2010-08-13T15:55:40Z</dcterms:created>
  <dcterms:modified xsi:type="dcterms:W3CDTF">2016-01-18T09:53:12Z</dcterms:modified>
  <cp:category/>
  <cp:version/>
  <cp:contentType/>
  <cp:contentStatus/>
</cp:coreProperties>
</file>